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980" activeTab="0"/>
  </bookViews>
  <sheets>
    <sheet name="2019" sheetId="1" r:id="rId1"/>
  </sheets>
  <definedNames>
    <definedName name="_xlnm._FilterDatabase" localSheetId="0" hidden="1">'2019'!$A$11:$S$378</definedName>
  </definedNames>
  <calcPr fullCalcOnLoad="1"/>
</workbook>
</file>

<file path=xl/sharedStrings.xml><?xml version="1.0" encoding="utf-8"?>
<sst xmlns="http://schemas.openxmlformats.org/spreadsheetml/2006/main" count="1031" uniqueCount="438">
  <si>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</si>
  <si>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</si>
  <si>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</si>
  <si>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</si>
  <si>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</si>
  <si>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</si>
  <si>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</si>
  <si>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</si>
  <si>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</si>
  <si>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</si>
  <si>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</si>
  <si>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</si>
  <si>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</si>
  <si>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</si>
  <si>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</si>
  <si>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</si>
  <si>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</si>
  <si>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</si>
  <si>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</si>
  <si>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</si>
  <si>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</si>
  <si>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</si>
  <si>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</si>
  <si>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</si>
  <si>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</si>
  <si>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</si>
  <si>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</si>
  <si>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</si>
  <si>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</si>
  <si>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</si>
  <si>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</si>
  <si>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</si>
  <si>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</si>
  <si>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</si>
  <si>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</si>
  <si>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</si>
  <si>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</si>
  <si>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</si>
  <si>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</si>
  <si>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</si>
  <si>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</si>
  <si>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</si>
  <si>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</si>
  <si>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</si>
  <si>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</si>
  <si>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</si>
  <si>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</si>
  <si>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Резервные фонды 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</si>
  <si>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</si>
  <si>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</si>
  <si>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</si>
  <si>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</si>
  <si>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</si>
  <si>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2019 год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</si>
  <si>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</si>
  <si>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</si>
  <si>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</si>
  <si>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</si>
  <si>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</si>
  <si>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</si>
  <si>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</si>
  <si>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</si>
  <si>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</si>
  <si>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</si>
  <si>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</si>
  <si>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</si>
  <si>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</si>
  <si>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</si>
  <si>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</si>
  <si>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</si>
  <si>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</si>
  <si>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</si>
  <si>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</si>
  <si>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</si>
  <si>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</si>
  <si>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</si>
  <si>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</si>
  <si>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</si>
  <si>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</si>
  <si>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</si>
  <si>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</si>
  <si>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</si>
  <si>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</si>
  <si>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</si>
  <si>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</si>
  <si>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</si>
  <si>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</si>
  <si>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</si>
  <si>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</si>
  <si>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</si>
  <si>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</si>
  <si>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</si>
  <si>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</si>
  <si>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</si>
  <si>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</si>
  <si>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</si>
  <si>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</si>
  <si>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</si>
  <si>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</si>
  <si>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</si>
  <si>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</si>
  <si>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</si>
  <si>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</si>
  <si>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0112000000</t>
  </si>
  <si>
    <t>0112001010</t>
  </si>
  <si>
    <t>0112001020</t>
  </si>
  <si>
    <t>0113000000</t>
  </si>
  <si>
    <t>0113001010</t>
  </si>
  <si>
    <t>0113001020</t>
  </si>
  <si>
    <t>ОБРАЗОВАНИЕ</t>
  </si>
  <si>
    <t xml:space="preserve">0210000000  </t>
  </si>
  <si>
    <t>0211000000</t>
  </si>
  <si>
    <t>0211001010</t>
  </si>
  <si>
    <t>0211070620</t>
  </si>
  <si>
    <t>0212000000</t>
  </si>
  <si>
    <t>0212001010</t>
  </si>
  <si>
    <t>0212070620</t>
  </si>
  <si>
    <t>0213000000</t>
  </si>
  <si>
    <t>0213001010</t>
  </si>
  <si>
    <t>0214000000</t>
  </si>
  <si>
    <t>0214100000</t>
  </si>
  <si>
    <t>0214170160</t>
  </si>
  <si>
    <t>0214271010</t>
  </si>
  <si>
    <t>СОЦИАЛЬНАЯ ПОЛИТИКА</t>
  </si>
  <si>
    <t>КУЛЬТУРА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</si>
  <si>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</si>
  <si>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</si>
  <si>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</si>
  <si>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</si>
  <si>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</si>
  <si>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</si>
  <si>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</si>
  <si>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</si>
  <si>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</si>
  <si>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</si>
  <si>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</si>
  <si>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</si>
  <si>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</si>
  <si>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</si>
  <si>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</si>
  <si>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</si>
  <si>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0414001010</t>
  </si>
  <si>
    <t>Проведение спортивно-массовых мероприятий</t>
  </si>
  <si>
    <t>0414001020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</si>
  <si>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</si>
  <si>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</si>
  <si>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</si>
  <si>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</si>
  <si>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</si>
  <si>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</si>
  <si>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</si>
  <si>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</si>
  <si>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</si>
  <si>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</si>
  <si>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</si>
  <si>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</si>
  <si>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</si>
  <si>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</si>
  <si>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</si>
  <si>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</si>
  <si>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</si>
  <si>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</si>
  <si>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</si>
  <si>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</si>
  <si>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</si>
  <si>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</si>
  <si>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0611076000</t>
  </si>
  <si>
    <t>06110R5410</t>
  </si>
  <si>
    <t>06110R5420</t>
  </si>
  <si>
    <t>06110R5430</t>
  </si>
  <si>
    <t>06110R5440</t>
  </si>
  <si>
    <t>0612000000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</si>
  <si>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</si>
  <si>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</si>
  <si>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06120L5670</t>
  </si>
  <si>
    <t>0613000000</t>
  </si>
  <si>
    <t>0613001010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</si>
  <si>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</si>
  <si>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</si>
  <si>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</si>
  <si>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</si>
  <si>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</si>
  <si>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</si>
  <si>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</si>
  <si>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</si>
  <si>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</si>
  <si>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</si>
  <si>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</si>
  <si>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</si>
  <si>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</si>
  <si>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</si>
  <si>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</si>
  <si>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</si>
  <si>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</si>
  <si>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</si>
  <si>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</si>
  <si>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</si>
  <si>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</si>
  <si>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</si>
  <si>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</si>
  <si>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</si>
  <si>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</si>
  <si>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</si>
  <si>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</si>
  <si>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</si>
  <si>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</si>
  <si>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</si>
  <si>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</si>
  <si>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</si>
  <si>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</si>
  <si>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</si>
  <si>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0911001010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</si>
  <si>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</si>
  <si>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</si>
  <si>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</si>
  <si>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</si>
  <si>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</si>
  <si>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</si>
  <si>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</si>
  <si>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</si>
  <si>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</si>
  <si>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</si>
  <si>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</si>
  <si>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0214401010</t>
  </si>
  <si>
    <t>0214501010</t>
  </si>
  <si>
    <t>0311000000</t>
  </si>
  <si>
    <t>0312000000</t>
  </si>
  <si>
    <t>0312101010</t>
  </si>
  <si>
    <t>0312201010</t>
  </si>
  <si>
    <t>0312370720</t>
  </si>
  <si>
    <t>0312470640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</si>
  <si>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</si>
  <si>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</si>
  <si>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</si>
  <si>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</si>
  <si>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</si>
  <si>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</si>
  <si>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</si>
  <si>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</si>
  <si>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</si>
  <si>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</si>
  <si>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</si>
  <si>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</si>
  <si>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</si>
  <si>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</si>
  <si>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</si>
  <si>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</si>
  <si>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</si>
  <si>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</si>
  <si>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</si>
  <si>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</si>
  <si>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</si>
  <si>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</si>
  <si>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</si>
  <si>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</si>
  <si>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</si>
  <si>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</si>
  <si>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</si>
  <si>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</si>
  <si>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</si>
  <si>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</si>
  <si>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</si>
  <si>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0214400000</t>
  </si>
  <si>
    <t>0214500000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</si>
  <si>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</si>
  <si>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</si>
  <si>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</si>
  <si>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</si>
  <si>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</si>
  <si>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>ЭКОНОМИКА</t>
  </si>
  <si>
    <t>0214101010</t>
  </si>
  <si>
    <t>Основное мероприятие "Персонифицированное  дополнительное образование детей"</t>
  </si>
  <si>
    <t>0213001020</t>
  </si>
  <si>
    <t>0530000000</t>
  </si>
  <si>
    <t>0531000000</t>
  </si>
  <si>
    <t>0531001010</t>
  </si>
  <si>
    <t>0532100000</t>
  </si>
  <si>
    <t>0532101010</t>
  </si>
  <si>
    <t>0532400000</t>
  </si>
  <si>
    <t>0532401010</t>
  </si>
  <si>
    <t>0533000000</t>
  </si>
  <si>
    <t>0533001010</t>
  </si>
  <si>
    <t>0534000000</t>
  </si>
  <si>
    <t>0534001010</t>
  </si>
  <si>
    <t>0613001020</t>
  </si>
  <si>
    <t>0613001030</t>
  </si>
  <si>
    <t>0613070660</t>
  </si>
  <si>
    <t>1012001020</t>
  </si>
  <si>
    <t>1012001030</t>
  </si>
  <si>
    <t>9910000000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</si>
  <si>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</si>
  <si>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</si>
  <si>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0112001000</t>
  </si>
  <si>
    <t>Основное мероприятие "Финансовое обеспечение казенного учреждения"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</si>
  <si>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</si>
  <si>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 xml:space="preserve">уточнение </t>
  </si>
  <si>
    <t xml:space="preserve">Выполнение других  общегосударственных задач </t>
  </si>
  <si>
    <t>0113001030</t>
  </si>
  <si>
    <t>Ремонт жилого фонда</t>
  </si>
  <si>
    <t>0531001020</t>
  </si>
  <si>
    <t>Основное мероприятие "Развитие коммунального хозяйства"</t>
  </si>
  <si>
    <t>0535000000</t>
  </si>
  <si>
    <t xml:space="preserve">Развитие коммунального хозяйства </t>
  </si>
  <si>
    <t>0535001010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</si>
  <si>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</si>
  <si>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</si>
  <si>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</si>
  <si>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</si>
  <si>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</si>
  <si>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</si>
  <si>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</si>
  <si>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</si>
  <si>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</si>
  <si>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на 2019 год</t>
  </si>
  <si>
    <t>01120S1050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</si>
  <si>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</si>
  <si>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</si>
  <si>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</si>
  <si>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</si>
  <si>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</si>
  <si>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</si>
  <si>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</si>
  <si>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</si>
  <si>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</si>
  <si>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</si>
  <si>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</si>
  <si>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</si>
  <si>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</si>
  <si>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</si>
  <si>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</si>
  <si>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</si>
  <si>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</si>
  <si>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04140S1090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</si>
  <si>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</si>
  <si>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</si>
  <si>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</si>
  <si>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05323S1380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</si>
  <si>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</si>
  <si>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</si>
  <si>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</si>
  <si>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</si>
  <si>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</si>
  <si>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Реализация программ формирования современной городской среды</t>
  </si>
  <si>
    <t>054F255550</t>
  </si>
  <si>
    <t>Государственная поддержка сельского хозяйства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</si>
  <si>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</si>
  <si>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</si>
  <si>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</si>
  <si>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</si>
  <si>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06120L5674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</si>
  <si>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</si>
  <si>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</si>
  <si>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</si>
  <si>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</si>
  <si>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</si>
  <si>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Доп ФК 500</t>
  </si>
  <si>
    <t>Финпомощь</t>
  </si>
  <si>
    <t>Местный бюджет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</si>
  <si>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</si>
  <si>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</si>
  <si>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</si>
  <si>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</si>
  <si>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</si>
  <si>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</si>
  <si>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</si>
  <si>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</si>
  <si>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</si>
  <si>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0532170730</t>
  </si>
  <si>
    <t>Возмещение части затрат на уплату процентов по инвестиционным кредитам (займам) в агропромышленном комплексе</t>
  </si>
  <si>
    <t>06110R4330</t>
  </si>
  <si>
    <t>Возмещение части процентной ставки по инвестиционным кредитам (займам) в агропромышленном комплексе</t>
  </si>
  <si>
    <t>0211001000</t>
  </si>
  <si>
    <t>0212001000</t>
  </si>
  <si>
    <t>0213001000</t>
  </si>
  <si>
    <t>04140L5190</t>
  </si>
  <si>
    <t>Государственная поддержка отрасли культуры</t>
  </si>
  <si>
    <t>0613001000</t>
  </si>
  <si>
    <r>
      <t xml:space="preserve">Приложение №9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к решению окружного Совета депутатов  
   МО"Зеленоградский городской округ"   
 от 19 декабря  2018 года №269 "О бюджете муниципального образования "Зеленоградский городской округ" на 2019 год  и  на плановый период  2020 и 2021 годов"  </t>
    </r>
  </si>
  <si>
    <t>0711000000</t>
  </si>
  <si>
    <t>0111001000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</si>
  <si>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</si>
  <si>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</si>
  <si>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0721051200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</si>
  <si>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</si>
  <si>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</si>
  <si>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</si>
  <si>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03141S1110</t>
  </si>
  <si>
    <t>0411001000</t>
  </si>
  <si>
    <t>0413001000</t>
  </si>
  <si>
    <t>0412001000</t>
  </si>
  <si>
    <t>Выполнение ремонтных работ на водопропускных объектах</t>
  </si>
  <si>
    <t>0535021910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</si>
  <si>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</si>
  <si>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05350S4000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</si>
  <si>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</si>
  <si>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</si>
  <si>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</si>
  <si>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</si>
  <si>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0613070000</t>
  </si>
  <si>
    <t>Организация участия в сельскохозяйственной выставке "Балтийское поле"</t>
  </si>
  <si>
    <t>Основное мероприятие "Организация участия в сельскохозяйственной выставке "Балтийское поле"</t>
  </si>
  <si>
    <t>0613002000</t>
  </si>
  <si>
    <t>0613002010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</si>
  <si>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</si>
  <si>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</si>
  <si>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</si>
  <si>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</si>
  <si>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</si>
  <si>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</si>
  <si>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</si>
  <si>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0511002010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</si>
  <si>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</si>
  <si>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</si>
  <si>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</si>
  <si>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</si>
  <si>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Обеспечение бесперебойного проведения отопительного сезона 2019-2020 годов</t>
  </si>
  <si>
    <t>0537021910</t>
  </si>
  <si>
    <t>0311010000</t>
  </si>
  <si>
    <t>0311011010</t>
  </si>
  <si>
    <t>0311011020</t>
  </si>
  <si>
    <t>0311011040</t>
  </si>
  <si>
    <t>0311011030</t>
  </si>
  <si>
    <t>0312011020</t>
  </si>
  <si>
    <t>0312011010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</si>
  <si>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</si>
  <si>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</si>
  <si>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</si>
  <si>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0550000000</t>
  </si>
  <si>
    <t>Основное мероприятие "Приобретение контейнеров для накопления твердых коммунальных отходов"</t>
  </si>
  <si>
    <t>0551000000</t>
  </si>
  <si>
    <t>Осуществление благоустройства территорий</t>
  </si>
  <si>
    <t>05510S1170</t>
  </si>
  <si>
    <t>0312010000</t>
  </si>
  <si>
    <t xml:space="preserve">Ремонт памятников и мемориалов  </t>
  </si>
  <si>
    <t>0414001030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</si>
  <si>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</si>
  <si>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</si>
  <si>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r>
      <rPr>
        <b/>
        <sz val="10"/>
        <rFont val="Arial"/>
        <family val="2"/>
      </rPr>
      <t>Приложение №5</t>
    </r>
    <r>
      <rPr>
        <sz val="10"/>
        <rFont val="Arial"/>
        <family val="0"/>
      </rPr>
      <t xml:space="preserve">
   к решению окружного Совета депутатов  
   МО"Зеленоградский городской округ"   
"О внесении изменений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"15" ноября 2019г. №346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</si>
</sst>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36"/>
      <name val="Arial"/>
      <family val="2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color indexed="36"/>
      <name val="Times New Roman"/>
      <family val="1"/>
    </font>
    <font>
      <b/>
      <sz val="14"/>
      <color indexed="36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sz val="10"/>
      <color rgb="FF7030A0"/>
      <name val="Arial"/>
      <family val="2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/>
    </xf>
    <xf numFmtId="49" fontId="60" fillId="0" borderId="10" xfId="0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63" fillId="33" borderId="0" xfId="0" applyFont="1" applyFill="1" applyAlignment="1">
      <alignment/>
    </xf>
    <xf numFmtId="0" fontId="8" fillId="23" borderId="10" xfId="0" applyFont="1" applyFill="1" applyBorder="1" applyAlignment="1">
      <alignment wrapText="1"/>
    </xf>
    <xf numFmtId="49" fontId="8" fillId="23" borderId="10" xfId="0" applyNumberFormat="1" applyFont="1" applyFill="1" applyBorder="1" applyAlignment="1">
      <alignment/>
    </xf>
    <xf numFmtId="193" fontId="8" fillId="23" borderId="10" xfId="0" applyNumberFormat="1" applyFont="1" applyFill="1" applyBorder="1" applyAlignment="1">
      <alignment horizontal="left" indent="1"/>
    </xf>
    <xf numFmtId="193" fontId="2" fillId="20" borderId="10" xfId="0" applyNumberFormat="1" applyFont="1" applyFill="1" applyBorder="1" applyAlignment="1">
      <alignment/>
    </xf>
    <xf numFmtId="193" fontId="1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6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60" fillId="33" borderId="10" xfId="0" applyNumberFormat="1" applyFont="1" applyFill="1" applyBorder="1" applyAlignment="1">
      <alignment/>
    </xf>
    <xf numFmtId="193" fontId="61" fillId="0" borderId="10" xfId="0" applyNumberFormat="1" applyFont="1" applyBorder="1" applyAlignment="1">
      <alignment/>
    </xf>
    <xf numFmtId="193" fontId="62" fillId="0" borderId="10" xfId="0" applyNumberFormat="1" applyFont="1" applyBorder="1" applyAlignment="1">
      <alignment/>
    </xf>
    <xf numFmtId="193" fontId="60" fillId="0" borderId="10" xfId="0" applyNumberFormat="1" applyFont="1" applyBorder="1" applyAlignment="1">
      <alignment/>
    </xf>
    <xf numFmtId="193" fontId="6" fillId="33" borderId="10" xfId="0" applyNumberFormat="1" applyFont="1" applyFill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/>
    </xf>
    <xf numFmtId="193" fontId="6" fillId="2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61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/>
    </xf>
    <xf numFmtId="193" fontId="62" fillId="33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/>
    </xf>
    <xf numFmtId="193" fontId="61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2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0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1" fillId="0" borderId="10" xfId="0" applyNumberFormat="1" applyFont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2" fontId="61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2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8" fillId="23" borderId="10" xfId="0" applyNumberFormat="1" applyFont="1" applyFill="1" applyBorder="1" applyAlignment="1">
      <alignment horizontal="left" indent="1"/>
    </xf>
    <xf numFmtId="193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193" fontId="0" fillId="0" borderId="0" xfId="0" applyNumberFormat="1" applyFont="1" applyAlignment="1">
      <alignment horizontal="right"/>
    </xf>
    <xf numFmtId="49" fontId="11" fillId="33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93" fontId="1" fillId="0" borderId="10" xfId="0" applyNumberFormat="1" applyFont="1" applyBorder="1" applyAlignment="1">
      <alignment horizontal="center" wrapText="1"/>
    </xf>
    <xf numFmtId="2" fontId="64" fillId="0" borderId="0" xfId="0" applyNumberFormat="1" applyFont="1" applyAlignment="1">
      <alignment wrapText="1"/>
    </xf>
    <xf numFmtId="193" fontId="64" fillId="0" borderId="0" xfId="0" applyNumberFormat="1" applyFont="1" applyAlignment="1">
      <alignment wrapText="1"/>
    </xf>
    <xf numFmtId="2" fontId="64" fillId="0" borderId="0" xfId="0" applyNumberFormat="1" applyFont="1" applyAlignment="1">
      <alignment horizontal="right"/>
    </xf>
    <xf numFmtId="193" fontId="64" fillId="0" borderId="0" xfId="0" applyNumberFormat="1" applyFont="1" applyAlignment="1">
      <alignment horizontal="right"/>
    </xf>
    <xf numFmtId="2" fontId="65" fillId="0" borderId="10" xfId="0" applyNumberFormat="1" applyFont="1" applyBorder="1" applyAlignment="1">
      <alignment horizontal="center"/>
    </xf>
    <xf numFmtId="193" fontId="65" fillId="0" borderId="10" xfId="0" applyNumberFormat="1" applyFont="1" applyBorder="1" applyAlignment="1">
      <alignment horizontal="center"/>
    </xf>
    <xf numFmtId="193" fontId="65" fillId="0" borderId="10" xfId="0" applyNumberFormat="1" applyFont="1" applyBorder="1" applyAlignment="1">
      <alignment horizontal="center" wrapText="1"/>
    </xf>
    <xf numFmtId="2" fontId="66" fillId="20" borderId="10" xfId="0" applyNumberFormat="1" applyFont="1" applyFill="1" applyBorder="1" applyAlignment="1">
      <alignment/>
    </xf>
    <xf numFmtId="193" fontId="66" fillId="20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193" fontId="66" fillId="33" borderId="10" xfId="0" applyNumberFormat="1" applyFont="1" applyFill="1" applyBorder="1" applyAlignment="1">
      <alignment/>
    </xf>
    <xf numFmtId="2" fontId="66" fillId="0" borderId="10" xfId="0" applyNumberFormat="1" applyFont="1" applyBorder="1" applyAlignment="1">
      <alignment/>
    </xf>
    <xf numFmtId="193" fontId="66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193" fontId="67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193" fontId="65" fillId="0" borderId="10" xfId="0" applyNumberFormat="1" applyFont="1" applyBorder="1" applyAlignment="1">
      <alignment/>
    </xf>
    <xf numFmtId="2" fontId="67" fillId="33" borderId="10" xfId="0" applyNumberFormat="1" applyFont="1" applyFill="1" applyBorder="1" applyAlignment="1">
      <alignment/>
    </xf>
    <xf numFmtId="193" fontId="67" fillId="33" borderId="10" xfId="0" applyNumberFormat="1" applyFont="1" applyFill="1" applyBorder="1" applyAlignment="1">
      <alignment/>
    </xf>
    <xf numFmtId="2" fontId="65" fillId="33" borderId="10" xfId="0" applyNumberFormat="1" applyFont="1" applyFill="1" applyBorder="1" applyAlignment="1">
      <alignment/>
    </xf>
    <xf numFmtId="193" fontId="65" fillId="33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/>
    </xf>
    <xf numFmtId="193" fontId="65" fillId="0" borderId="10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/>
    </xf>
    <xf numFmtId="193" fontId="67" fillId="0" borderId="10" xfId="0" applyNumberFormat="1" applyFont="1" applyFill="1" applyBorder="1" applyAlignment="1">
      <alignment/>
    </xf>
    <xf numFmtId="2" fontId="67" fillId="20" borderId="10" xfId="0" applyNumberFormat="1" applyFont="1" applyFill="1" applyBorder="1" applyAlignment="1">
      <alignment/>
    </xf>
    <xf numFmtId="193" fontId="67" fillId="20" borderId="10" xfId="0" applyNumberFormat="1" applyFont="1" applyFill="1" applyBorder="1" applyAlignment="1">
      <alignment/>
    </xf>
    <xf numFmtId="2" fontId="68" fillId="23" borderId="10" xfId="0" applyNumberFormat="1" applyFont="1" applyFill="1" applyBorder="1" applyAlignment="1">
      <alignment horizontal="left" indent="1"/>
    </xf>
    <xf numFmtId="193" fontId="68" fillId="23" borderId="10" xfId="0" applyNumberFormat="1" applyFont="1" applyFill="1" applyBorder="1" applyAlignment="1">
      <alignment horizontal="left" indent="1"/>
    </xf>
    <xf numFmtId="2" fontId="64" fillId="0" borderId="0" xfId="0" applyNumberFormat="1" applyFont="1" applyAlignment="1">
      <alignment/>
    </xf>
    <xf numFmtId="193" fontId="64" fillId="0" borderId="0" xfId="0" applyNumberFormat="1" applyFont="1" applyAlignment="1">
      <alignment/>
    </xf>
    <xf numFmtId="0" fontId="69" fillId="0" borderId="0" xfId="0" applyFont="1" applyBorder="1" applyAlignment="1">
      <alignment wrapText="1"/>
    </xf>
    <xf numFmtId="49" fontId="62" fillId="0" borderId="10" xfId="0" applyNumberFormat="1" applyFont="1" applyFill="1" applyBorder="1" applyAlignment="1">
      <alignment/>
    </xf>
    <xf numFmtId="193" fontId="62" fillId="0" borderId="10" xfId="0" applyNumberFormat="1" applyFont="1" applyFill="1" applyBorder="1" applyAlignment="1">
      <alignment/>
    </xf>
    <xf numFmtId="2" fontId="62" fillId="0" borderId="10" xfId="0" applyNumberFormat="1" applyFont="1" applyFill="1" applyBorder="1" applyAlignment="1">
      <alignment/>
    </xf>
    <xf numFmtId="49" fontId="60" fillId="0" borderId="10" xfId="0" applyNumberFormat="1" applyFont="1" applyFill="1" applyBorder="1" applyAlignment="1">
      <alignment/>
    </xf>
    <xf numFmtId="193" fontId="60" fillId="0" borderId="10" xfId="0" applyNumberFormat="1" applyFont="1" applyFill="1" applyBorder="1" applyAlignment="1">
      <alignment/>
    </xf>
    <xf numFmtId="2" fontId="60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2" fontId="70" fillId="0" borderId="0" xfId="0" applyNumberFormat="1" applyFont="1" applyAlignment="1">
      <alignment wrapText="1"/>
    </xf>
    <xf numFmtId="2" fontId="70" fillId="0" borderId="0" xfId="0" applyNumberFormat="1" applyFont="1" applyAlignment="1">
      <alignment horizontal="right"/>
    </xf>
    <xf numFmtId="2" fontId="62" fillId="0" borderId="10" xfId="0" applyNumberFormat="1" applyFont="1" applyBorder="1" applyAlignment="1">
      <alignment horizontal="center"/>
    </xf>
    <xf numFmtId="2" fontId="60" fillId="20" borderId="10" xfId="0" applyNumberFormat="1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2" fontId="61" fillId="20" borderId="10" xfId="0" applyNumberFormat="1" applyFont="1" applyFill="1" applyBorder="1" applyAlignment="1">
      <alignment/>
    </xf>
    <xf numFmtId="2" fontId="71" fillId="23" borderId="10" xfId="0" applyNumberFormat="1" applyFont="1" applyFill="1" applyBorder="1" applyAlignment="1">
      <alignment horizontal="left" indent="1"/>
    </xf>
    <xf numFmtId="2" fontId="70" fillId="0" borderId="0" xfId="0" applyNumberFormat="1" applyFont="1" applyAlignment="1">
      <alignment/>
    </xf>
    <xf numFmtId="49" fontId="13" fillId="0" borderId="10" xfId="0" applyNumberFormat="1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195" fontId="1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2"/>
  <sheetViews>
    <sheetView tabSelected="1" zoomScale="90" zoomScaleNormal="90" zoomScalePageLayoutView="0" workbookViewId="0" topLeftCell="A1">
      <pane xSplit="5" topLeftCell="F1" activePane="topRight" state="frozen"/>
      <selection pane="topLeft" activeCell="A7" sqref="A7"/>
      <selection pane="topRight" activeCell="Z9" sqref="Z9"/>
    </sheetView>
  </sheetViews>
  <sheetFormatPr defaultColWidth="9.140625" defaultRowHeight="12.75"/>
  <cols>
    <col min="1" max="1" width="49.57421875" style="0" customWidth="1"/>
    <col min="2" max="2" width="9.28125" style="1" hidden="1" customWidth="1"/>
    <col min="3" max="3" width="0.42578125" style="55" hidden="1" customWidth="1"/>
    <col min="4" max="4" width="18.00390625" style="55" hidden="1" customWidth="1"/>
    <col min="5" max="5" width="21.57421875" style="55" hidden="1" customWidth="1"/>
    <col min="6" max="6" width="17.140625" style="1" customWidth="1"/>
    <col min="7" max="7" width="10.140625" style="1" customWidth="1"/>
    <col min="8" max="8" width="9.140625" style="55" hidden="1" customWidth="1"/>
    <col min="9" max="9" width="6.7109375" style="55" hidden="1" customWidth="1"/>
    <col min="10" max="10" width="15.57421875" style="55" hidden="1" customWidth="1"/>
    <col min="11" max="11" width="11.140625" style="63" hidden="1" customWidth="1"/>
    <col min="12" max="12" width="6.57421875" style="55" hidden="1" customWidth="1"/>
    <col min="13" max="13" width="8.8515625" style="55" hidden="1" customWidth="1"/>
    <col min="14" max="14" width="10.28125" style="63" hidden="1" customWidth="1"/>
    <col min="15" max="15" width="14.00390625" style="120" hidden="1" customWidth="1"/>
    <col min="16" max="16" width="10.57421875" style="120" hidden="1" customWidth="1"/>
    <col min="17" max="17" width="15.57421875" style="120" hidden="1" customWidth="1"/>
    <col min="18" max="18" width="16.8515625" style="121" hidden="1" customWidth="1"/>
    <col min="19" max="19" width="21.421875" style="138" customWidth="1"/>
  </cols>
  <sheetData>
    <row r="1" spans="2:19" ht="165.75" customHeight="1">
      <c r="B1" s="140" t="s">
        <v>437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  <c r="Q1" s="141"/>
      <c r="R1" s="141"/>
      <c r="S1" s="141"/>
    </row>
    <row r="2" spans="2:19" ht="63" customHeight="1">
      <c r="B2" s="142" t="s">
        <v>377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1"/>
      <c r="P2" s="141"/>
      <c r="Q2" s="141"/>
      <c r="R2" s="141"/>
      <c r="S2" s="141"/>
    </row>
    <row r="3" spans="2:19" ht="12.75" customHeight="1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1"/>
      <c r="P3" s="141"/>
      <c r="Q3" s="141"/>
      <c r="R3" s="141"/>
      <c r="S3" s="141"/>
    </row>
    <row r="4" spans="2:19" ht="12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1"/>
      <c r="P4" s="141"/>
      <c r="Q4" s="141"/>
      <c r="R4" s="141"/>
      <c r="S4" s="141"/>
    </row>
    <row r="5" spans="2:19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1"/>
      <c r="P5" s="141"/>
      <c r="Q5" s="141"/>
      <c r="R5" s="141"/>
      <c r="S5" s="141"/>
    </row>
    <row r="6" spans="2:19" ht="6.75" customHeight="1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1"/>
      <c r="P6" s="141"/>
      <c r="Q6" s="141"/>
      <c r="R6" s="141"/>
      <c r="S6" s="141"/>
    </row>
    <row r="7" spans="2:19" ht="33.75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1"/>
      <c r="P7" s="141"/>
      <c r="Q7" s="141"/>
      <c r="R7" s="141"/>
      <c r="S7" s="141"/>
    </row>
    <row r="8" spans="7:19" ht="12.75">
      <c r="G8" s="85"/>
      <c r="H8" s="83"/>
      <c r="I8" s="83"/>
      <c r="J8" s="83"/>
      <c r="K8" s="84"/>
      <c r="L8" s="83"/>
      <c r="M8" s="83"/>
      <c r="N8" s="84"/>
      <c r="O8" s="91"/>
      <c r="P8" s="91"/>
      <c r="Q8" s="91"/>
      <c r="R8" s="92"/>
      <c r="S8" s="131"/>
    </row>
    <row r="9" spans="1:19" ht="69.75" customHeight="1">
      <c r="A9" s="143" t="s">
        <v>313</v>
      </c>
      <c r="B9" s="143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</row>
    <row r="10" spans="2:19" ht="12.75">
      <c r="B10" s="145"/>
      <c r="C10" s="145"/>
      <c r="D10"/>
      <c r="E10" s="56" t="s">
        <v>12</v>
      </c>
      <c r="G10" s="145"/>
      <c r="H10" s="145"/>
      <c r="I10"/>
      <c r="J10" s="86"/>
      <c r="K10" s="64"/>
      <c r="L10" s="86"/>
      <c r="M10" s="86"/>
      <c r="N10" s="64" t="s">
        <v>12</v>
      </c>
      <c r="O10" s="93"/>
      <c r="P10" s="93"/>
      <c r="Q10" s="93"/>
      <c r="R10" s="94"/>
      <c r="S10" s="132" t="s">
        <v>12</v>
      </c>
    </row>
    <row r="11" spans="1:19" ht="33" customHeight="1">
      <c r="A11" s="148" t="s">
        <v>0</v>
      </c>
      <c r="B11" s="146" t="s">
        <v>11</v>
      </c>
      <c r="C11" s="41" t="s">
        <v>1</v>
      </c>
      <c r="D11" s="41" t="s">
        <v>1</v>
      </c>
      <c r="E11" s="41" t="s">
        <v>1</v>
      </c>
      <c r="F11" s="146" t="s">
        <v>10</v>
      </c>
      <c r="G11" s="146" t="s">
        <v>11</v>
      </c>
      <c r="H11" s="41" t="s">
        <v>1</v>
      </c>
      <c r="I11" s="41" t="s">
        <v>1</v>
      </c>
      <c r="J11" s="41" t="s">
        <v>1</v>
      </c>
      <c r="K11" s="65" t="s">
        <v>355</v>
      </c>
      <c r="L11" s="41" t="s">
        <v>356</v>
      </c>
      <c r="M11" s="90" t="s">
        <v>357</v>
      </c>
      <c r="N11" s="65" t="s">
        <v>1</v>
      </c>
      <c r="O11" s="95" t="s">
        <v>355</v>
      </c>
      <c r="P11" s="95"/>
      <c r="Q11" s="95" t="s">
        <v>356</v>
      </c>
      <c r="R11" s="97" t="s">
        <v>357</v>
      </c>
      <c r="S11" s="133" t="s">
        <v>1</v>
      </c>
    </row>
    <row r="12" spans="1:19" ht="36.75" customHeight="1">
      <c r="A12" s="148"/>
      <c r="B12" s="147"/>
      <c r="C12" s="41" t="s">
        <v>53</v>
      </c>
      <c r="D12" s="41" t="s">
        <v>295</v>
      </c>
      <c r="E12" s="41" t="s">
        <v>53</v>
      </c>
      <c r="F12" s="147"/>
      <c r="G12" s="147"/>
      <c r="H12" s="41" t="s">
        <v>53</v>
      </c>
      <c r="I12" s="41" t="s">
        <v>295</v>
      </c>
      <c r="J12" s="41" t="s">
        <v>53</v>
      </c>
      <c r="K12" s="65"/>
      <c r="L12" s="41"/>
      <c r="M12" s="41"/>
      <c r="N12" s="65" t="s">
        <v>53</v>
      </c>
      <c r="O12" s="95"/>
      <c r="P12" s="95"/>
      <c r="Q12" s="95"/>
      <c r="R12" s="96"/>
      <c r="S12" s="133" t="s">
        <v>53</v>
      </c>
    </row>
    <row r="13" spans="1:19" ht="24" customHeight="1">
      <c r="A13" s="30" t="s">
        <v>181</v>
      </c>
      <c r="B13" s="31"/>
      <c r="C13" s="40">
        <f>C14</f>
        <v>90566.4</v>
      </c>
      <c r="D13" s="40">
        <f>D14</f>
        <v>2735.38</v>
      </c>
      <c r="E13" s="40">
        <f>E14</f>
        <v>93301.77999999998</v>
      </c>
      <c r="F13" s="31" t="s">
        <v>31</v>
      </c>
      <c r="G13" s="31"/>
      <c r="H13" s="40">
        <f aca="true" t="shared" si="0" ref="H13:O13">H14</f>
        <v>90566.4</v>
      </c>
      <c r="I13" s="40">
        <f t="shared" si="0"/>
        <v>2735.38</v>
      </c>
      <c r="J13" s="40">
        <f t="shared" si="0"/>
        <v>93301.77999999998</v>
      </c>
      <c r="K13" s="66">
        <f t="shared" si="0"/>
        <v>0</v>
      </c>
      <c r="L13" s="40">
        <f t="shared" si="0"/>
        <v>0</v>
      </c>
      <c r="M13" s="40">
        <f t="shared" si="0"/>
        <v>526</v>
      </c>
      <c r="N13" s="66">
        <f t="shared" si="0"/>
        <v>93827.77999999998</v>
      </c>
      <c r="O13" s="98">
        <f t="shared" si="0"/>
        <v>1594.19</v>
      </c>
      <c r="P13" s="98"/>
      <c r="Q13" s="98">
        <f>Q14</f>
        <v>0</v>
      </c>
      <c r="R13" s="99">
        <f>R14</f>
        <v>380</v>
      </c>
      <c r="S13" s="134">
        <f>S14</f>
        <v>94048.18000000001</v>
      </c>
    </row>
    <row r="14" spans="1:19" s="34" customFormat="1" ht="30.75" customHeight="1">
      <c r="A14" s="12" t="s">
        <v>152</v>
      </c>
      <c r="B14" s="23"/>
      <c r="C14" s="45">
        <f>C15+C21+C35</f>
        <v>90566.4</v>
      </c>
      <c r="D14" s="45">
        <f>D15+D21+D35</f>
        <v>2735.38</v>
      </c>
      <c r="E14" s="45">
        <f>E15+E21+E35</f>
        <v>93301.77999999998</v>
      </c>
      <c r="F14" s="23" t="s">
        <v>56</v>
      </c>
      <c r="G14" s="23"/>
      <c r="H14" s="45">
        <f aca="true" t="shared" si="1" ref="H14:O14">H15+H21+H35</f>
        <v>90566.4</v>
      </c>
      <c r="I14" s="45">
        <f t="shared" si="1"/>
        <v>2735.38</v>
      </c>
      <c r="J14" s="45">
        <f t="shared" si="1"/>
        <v>93301.77999999998</v>
      </c>
      <c r="K14" s="67">
        <f t="shared" si="1"/>
        <v>0</v>
      </c>
      <c r="L14" s="45">
        <f t="shared" si="1"/>
        <v>0</v>
      </c>
      <c r="M14" s="45">
        <f t="shared" si="1"/>
        <v>526</v>
      </c>
      <c r="N14" s="67">
        <f t="shared" si="1"/>
        <v>93827.77999999998</v>
      </c>
      <c r="O14" s="100">
        <f t="shared" si="1"/>
        <v>1594.19</v>
      </c>
      <c r="P14" s="100"/>
      <c r="Q14" s="100">
        <f>Q15+Q21+Q35</f>
        <v>0</v>
      </c>
      <c r="R14" s="101">
        <f>R15+R21+R35</f>
        <v>380</v>
      </c>
      <c r="S14" s="71">
        <f>S15+S21+S35</f>
        <v>94048.18000000001</v>
      </c>
    </row>
    <row r="15" spans="1:19" ht="36" customHeight="1">
      <c r="A15" s="12" t="s">
        <v>54</v>
      </c>
      <c r="B15" s="9"/>
      <c r="C15" s="42">
        <f aca="true" t="shared" si="2" ref="C15:E16">C16</f>
        <v>55999.6</v>
      </c>
      <c r="D15" s="42">
        <f t="shared" si="2"/>
        <v>1475.3</v>
      </c>
      <c r="E15" s="42">
        <f t="shared" si="2"/>
        <v>57474.899999999994</v>
      </c>
      <c r="F15" s="9" t="s">
        <v>101</v>
      </c>
      <c r="G15" s="9"/>
      <c r="H15" s="42">
        <f aca="true" t="shared" si="3" ref="H15:O16">H16</f>
        <v>55999.6</v>
      </c>
      <c r="I15" s="42">
        <f t="shared" si="3"/>
        <v>1475.3</v>
      </c>
      <c r="J15" s="42">
        <f t="shared" si="3"/>
        <v>57474.899999999994</v>
      </c>
      <c r="K15" s="68">
        <f t="shared" si="3"/>
        <v>0</v>
      </c>
      <c r="L15" s="42">
        <f t="shared" si="3"/>
        <v>0</v>
      </c>
      <c r="M15" s="42">
        <f t="shared" si="3"/>
        <v>499.99999999999994</v>
      </c>
      <c r="N15" s="68">
        <f t="shared" si="3"/>
        <v>57974.899999999994</v>
      </c>
      <c r="O15" s="102">
        <f t="shared" si="3"/>
        <v>1459.9</v>
      </c>
      <c r="P15" s="102"/>
      <c r="Q15" s="102">
        <f aca="true" t="shared" si="4" ref="Q15:S16">Q16</f>
        <v>0</v>
      </c>
      <c r="R15" s="103">
        <f t="shared" si="4"/>
        <v>0</v>
      </c>
      <c r="S15" s="75">
        <f t="shared" si="4"/>
        <v>57230.51</v>
      </c>
    </row>
    <row r="16" spans="1:19" ht="51.75" customHeight="1">
      <c r="A16" s="13" t="s">
        <v>62</v>
      </c>
      <c r="B16" s="14"/>
      <c r="C16" s="43">
        <f t="shared" si="2"/>
        <v>55999.6</v>
      </c>
      <c r="D16" s="43">
        <f t="shared" si="2"/>
        <v>1475.3</v>
      </c>
      <c r="E16" s="43">
        <f t="shared" si="2"/>
        <v>57474.899999999994</v>
      </c>
      <c r="F16" s="14" t="s">
        <v>379</v>
      </c>
      <c r="G16" s="14"/>
      <c r="H16" s="43">
        <f t="shared" si="3"/>
        <v>55999.6</v>
      </c>
      <c r="I16" s="43">
        <f t="shared" si="3"/>
        <v>1475.3</v>
      </c>
      <c r="J16" s="43">
        <f t="shared" si="3"/>
        <v>57474.899999999994</v>
      </c>
      <c r="K16" s="69">
        <f t="shared" si="3"/>
        <v>0</v>
      </c>
      <c r="L16" s="43">
        <f t="shared" si="3"/>
        <v>0</v>
      </c>
      <c r="M16" s="43">
        <f t="shared" si="3"/>
        <v>499.99999999999994</v>
      </c>
      <c r="N16" s="69">
        <f t="shared" si="3"/>
        <v>57974.899999999994</v>
      </c>
      <c r="O16" s="104">
        <f t="shared" si="3"/>
        <v>1459.9</v>
      </c>
      <c r="P16" s="104"/>
      <c r="Q16" s="104">
        <f t="shared" si="4"/>
        <v>0</v>
      </c>
      <c r="R16" s="105">
        <f t="shared" si="4"/>
        <v>0</v>
      </c>
      <c r="S16" s="73">
        <f t="shared" si="4"/>
        <v>57230.51</v>
      </c>
    </row>
    <row r="17" spans="1:19" ht="37.5" customHeight="1">
      <c r="A17" s="4" t="s">
        <v>55</v>
      </c>
      <c r="B17" s="5"/>
      <c r="C17" s="44">
        <f>C18+C19+C20</f>
        <v>55999.6</v>
      </c>
      <c r="D17" s="44">
        <f>D18+D19+D20</f>
        <v>1475.3</v>
      </c>
      <c r="E17" s="44">
        <f>E18+E19+E20</f>
        <v>57474.899999999994</v>
      </c>
      <c r="F17" s="5" t="s">
        <v>102</v>
      </c>
      <c r="G17" s="5"/>
      <c r="H17" s="44">
        <f aca="true" t="shared" si="5" ref="H17:O17">H18+H19+H20</f>
        <v>55999.6</v>
      </c>
      <c r="I17" s="44">
        <f t="shared" si="5"/>
        <v>1475.3</v>
      </c>
      <c r="J17" s="44">
        <f t="shared" si="5"/>
        <v>57474.899999999994</v>
      </c>
      <c r="K17" s="70">
        <f t="shared" si="5"/>
        <v>0</v>
      </c>
      <c r="L17" s="44">
        <f t="shared" si="5"/>
        <v>0</v>
      </c>
      <c r="M17" s="44">
        <f t="shared" si="5"/>
        <v>499.99999999999994</v>
      </c>
      <c r="N17" s="70">
        <f t="shared" si="5"/>
        <v>57974.899999999994</v>
      </c>
      <c r="O17" s="106">
        <f t="shared" si="5"/>
        <v>1459.9</v>
      </c>
      <c r="P17" s="106"/>
      <c r="Q17" s="106">
        <f>Q18+Q19+Q20</f>
        <v>0</v>
      </c>
      <c r="R17" s="107">
        <f>R18+R19+R20</f>
        <v>0</v>
      </c>
      <c r="S17" s="76">
        <f>S18+S19+S20</f>
        <v>57230.51</v>
      </c>
    </row>
    <row r="18" spans="1:19" ht="100.5" customHeight="1">
      <c r="A18" s="4" t="s">
        <v>14</v>
      </c>
      <c r="B18" s="5" t="s">
        <v>15</v>
      </c>
      <c r="C18" s="44">
        <f>39886.7+12198</f>
        <v>52084.7</v>
      </c>
      <c r="D18" s="44"/>
      <c r="E18" s="44">
        <f>C18+D18</f>
        <v>52084.7</v>
      </c>
      <c r="F18" s="5" t="s">
        <v>102</v>
      </c>
      <c r="G18" s="5" t="s">
        <v>15</v>
      </c>
      <c r="H18" s="44">
        <f>39886.7+12198</f>
        <v>52084.7</v>
      </c>
      <c r="I18" s="44"/>
      <c r="J18" s="44">
        <f>H18+I18</f>
        <v>52084.7</v>
      </c>
      <c r="K18" s="70"/>
      <c r="L18" s="44"/>
      <c r="M18" s="44">
        <v>-47</v>
      </c>
      <c r="N18" s="70">
        <f>L18+M18+K18+J18</f>
        <v>52037.7</v>
      </c>
      <c r="O18" s="106"/>
      <c r="P18" s="106"/>
      <c r="Q18" s="106"/>
      <c r="R18" s="107">
        <v>-374.3</v>
      </c>
      <c r="S18" s="76">
        <f>50653.4-804-453.9-328.12-618.24</f>
        <v>48449.14</v>
      </c>
    </row>
    <row r="19" spans="1:19" ht="36.75" customHeight="1">
      <c r="A19" s="4" t="s">
        <v>16</v>
      </c>
      <c r="B19" s="5" t="s">
        <v>17</v>
      </c>
      <c r="C19" s="44">
        <v>3644.9</v>
      </c>
      <c r="D19" s="44">
        <v>1475.3</v>
      </c>
      <c r="E19" s="44">
        <f>C19+D19</f>
        <v>5120.2</v>
      </c>
      <c r="F19" s="5" t="s">
        <v>102</v>
      </c>
      <c r="G19" s="5" t="s">
        <v>17</v>
      </c>
      <c r="H19" s="44">
        <v>3644.9</v>
      </c>
      <c r="I19" s="44">
        <v>1475.3</v>
      </c>
      <c r="J19" s="44">
        <f>H19+I19</f>
        <v>5120.2</v>
      </c>
      <c r="K19" s="70"/>
      <c r="L19" s="44"/>
      <c r="M19" s="44">
        <f>44.3+500</f>
        <v>544.3</v>
      </c>
      <c r="N19" s="70">
        <f>L19+M19+K19+J19</f>
        <v>5664.5</v>
      </c>
      <c r="O19" s="106">
        <v>1459.9</v>
      </c>
      <c r="P19" s="106"/>
      <c r="Q19" s="106"/>
      <c r="R19" s="107">
        <v>249.3</v>
      </c>
      <c r="S19" s="76">
        <v>8327.29</v>
      </c>
    </row>
    <row r="20" spans="1:19" ht="23.25" customHeight="1">
      <c r="A20" s="4" t="s">
        <v>58</v>
      </c>
      <c r="B20" s="5" t="s">
        <v>19</v>
      </c>
      <c r="C20" s="44">
        <v>270</v>
      </c>
      <c r="D20" s="44"/>
      <c r="E20" s="44">
        <f>C20+D20</f>
        <v>270</v>
      </c>
      <c r="F20" s="5" t="s">
        <v>102</v>
      </c>
      <c r="G20" s="5" t="s">
        <v>19</v>
      </c>
      <c r="H20" s="44">
        <v>270</v>
      </c>
      <c r="I20" s="44"/>
      <c r="J20" s="44">
        <f>H20+I20</f>
        <v>270</v>
      </c>
      <c r="K20" s="70"/>
      <c r="L20" s="44"/>
      <c r="M20" s="44">
        <v>2.7</v>
      </c>
      <c r="N20" s="70">
        <f>L20+M20+K20+J20</f>
        <v>272.7</v>
      </c>
      <c r="O20" s="106"/>
      <c r="P20" s="106"/>
      <c r="Q20" s="106"/>
      <c r="R20" s="107">
        <v>125</v>
      </c>
      <c r="S20" s="76">
        <v>454.08</v>
      </c>
    </row>
    <row r="21" spans="1:19" ht="52.5" customHeight="1">
      <c r="A21" s="10" t="s">
        <v>57</v>
      </c>
      <c r="B21" s="9"/>
      <c r="C21" s="42">
        <f>C22+C27+C31</f>
        <v>32776.799999999996</v>
      </c>
      <c r="D21" s="42">
        <f>D22+D27+D31</f>
        <v>0</v>
      </c>
      <c r="E21" s="42">
        <f>E22</f>
        <v>32776.799999999996</v>
      </c>
      <c r="F21" s="9" t="s">
        <v>103</v>
      </c>
      <c r="G21" s="9"/>
      <c r="H21" s="42">
        <f>H22+H27+H31</f>
        <v>32776.799999999996</v>
      </c>
      <c r="I21" s="42">
        <f>I22+I27+I31</f>
        <v>0</v>
      </c>
      <c r="J21" s="42">
        <f aca="true" t="shared" si="6" ref="J21:O21">J22</f>
        <v>32776.799999999996</v>
      </c>
      <c r="K21" s="68">
        <f t="shared" si="6"/>
        <v>0</v>
      </c>
      <c r="L21" s="42">
        <f t="shared" si="6"/>
        <v>0</v>
      </c>
      <c r="M21" s="42">
        <f t="shared" si="6"/>
        <v>0</v>
      </c>
      <c r="N21" s="68">
        <f t="shared" si="6"/>
        <v>32776.799999999996</v>
      </c>
      <c r="O21" s="102">
        <f t="shared" si="6"/>
        <v>134.29</v>
      </c>
      <c r="P21" s="102"/>
      <c r="Q21" s="102">
        <f>Q22</f>
        <v>0</v>
      </c>
      <c r="R21" s="103">
        <f>R22</f>
        <v>380</v>
      </c>
      <c r="S21" s="75">
        <f>S22</f>
        <v>33291.09</v>
      </c>
    </row>
    <row r="22" spans="1:19" ht="37.5" customHeight="1">
      <c r="A22" s="13" t="s">
        <v>293</v>
      </c>
      <c r="B22" s="14"/>
      <c r="C22" s="43">
        <f>C23</f>
        <v>21226.699999999997</v>
      </c>
      <c r="D22" s="43">
        <f>D23</f>
        <v>0</v>
      </c>
      <c r="E22" s="43">
        <f>E23+E27+E31</f>
        <v>32776.799999999996</v>
      </c>
      <c r="F22" s="14" t="s">
        <v>292</v>
      </c>
      <c r="G22" s="14"/>
      <c r="H22" s="43">
        <f>H23</f>
        <v>21226.699999999997</v>
      </c>
      <c r="I22" s="43">
        <f>I23</f>
        <v>0</v>
      </c>
      <c r="J22" s="43">
        <f aca="true" t="shared" si="7" ref="J22:O22">J23+J27+J31</f>
        <v>32776.799999999996</v>
      </c>
      <c r="K22" s="69">
        <f t="shared" si="7"/>
        <v>0</v>
      </c>
      <c r="L22" s="43">
        <f t="shared" si="7"/>
        <v>0</v>
      </c>
      <c r="M22" s="43">
        <f t="shared" si="7"/>
        <v>0</v>
      </c>
      <c r="N22" s="69">
        <f t="shared" si="7"/>
        <v>32776.799999999996</v>
      </c>
      <c r="O22" s="104">
        <f t="shared" si="7"/>
        <v>134.29</v>
      </c>
      <c r="P22" s="104"/>
      <c r="Q22" s="104">
        <f>Q23+Q27+Q31</f>
        <v>0</v>
      </c>
      <c r="R22" s="105">
        <f>R23+R27+R31</f>
        <v>380</v>
      </c>
      <c r="S22" s="73">
        <f>S23+S27+S31</f>
        <v>33291.09</v>
      </c>
    </row>
    <row r="23" spans="1:19" ht="78" customHeight="1">
      <c r="A23" s="13" t="s">
        <v>291</v>
      </c>
      <c r="B23" s="14"/>
      <c r="C23" s="43">
        <f>C24+C25+C26</f>
        <v>21226.699999999997</v>
      </c>
      <c r="D23" s="43">
        <f>D24+D25+D26</f>
        <v>0</v>
      </c>
      <c r="E23" s="43">
        <f>E24+E25+E26</f>
        <v>21226.699999999997</v>
      </c>
      <c r="F23" s="14" t="s">
        <v>104</v>
      </c>
      <c r="G23" s="14"/>
      <c r="H23" s="43">
        <f aca="true" t="shared" si="8" ref="H23:O23">H24+H25+H26</f>
        <v>21226.699999999997</v>
      </c>
      <c r="I23" s="43">
        <f t="shared" si="8"/>
        <v>0</v>
      </c>
      <c r="J23" s="43">
        <f t="shared" si="8"/>
        <v>21226.699999999997</v>
      </c>
      <c r="K23" s="69">
        <f t="shared" si="8"/>
        <v>0</v>
      </c>
      <c r="L23" s="43">
        <f t="shared" si="8"/>
        <v>0</v>
      </c>
      <c r="M23" s="43">
        <f t="shared" si="8"/>
        <v>0</v>
      </c>
      <c r="N23" s="69">
        <f t="shared" si="8"/>
        <v>21226.699999999997</v>
      </c>
      <c r="O23" s="104">
        <f t="shared" si="8"/>
        <v>0</v>
      </c>
      <c r="P23" s="104"/>
      <c r="Q23" s="104">
        <f>Q24+Q25+Q26</f>
        <v>0</v>
      </c>
      <c r="R23" s="105">
        <f>R24+R25+R26</f>
        <v>0</v>
      </c>
      <c r="S23" s="73">
        <f>S24+S25+S26</f>
        <v>21226.7</v>
      </c>
    </row>
    <row r="24" spans="1:19" ht="89.25" customHeight="1">
      <c r="A24" s="4" t="s">
        <v>60</v>
      </c>
      <c r="B24" s="5" t="s">
        <v>15</v>
      </c>
      <c r="C24" s="44">
        <f>12808.3+3868.1</f>
        <v>16676.399999999998</v>
      </c>
      <c r="D24" s="44"/>
      <c r="E24" s="44">
        <f>C24+D24</f>
        <v>16676.399999999998</v>
      </c>
      <c r="F24" s="5" t="s">
        <v>104</v>
      </c>
      <c r="G24" s="5" t="s">
        <v>15</v>
      </c>
      <c r="H24" s="44">
        <f>12808.3+3868.1</f>
        <v>16676.399999999998</v>
      </c>
      <c r="I24" s="44"/>
      <c r="J24" s="44">
        <f>H24+I24</f>
        <v>16676.399999999998</v>
      </c>
      <c r="K24" s="70"/>
      <c r="L24" s="44"/>
      <c r="M24" s="44"/>
      <c r="N24" s="70">
        <f>L24+M24+K24+J24</f>
        <v>16676.399999999998</v>
      </c>
      <c r="O24" s="106"/>
      <c r="P24" s="106"/>
      <c r="Q24" s="106"/>
      <c r="R24" s="107"/>
      <c r="S24" s="76">
        <f>16876.4+840</f>
        <v>17716.4</v>
      </c>
    </row>
    <row r="25" spans="1:19" ht="36.75" customHeight="1">
      <c r="A25" s="4" t="s">
        <v>16</v>
      </c>
      <c r="B25" s="5" t="s">
        <v>17</v>
      </c>
      <c r="C25" s="44">
        <v>4525.3</v>
      </c>
      <c r="D25" s="44"/>
      <c r="E25" s="44">
        <f>C25+D25</f>
        <v>4525.3</v>
      </c>
      <c r="F25" s="5" t="s">
        <v>104</v>
      </c>
      <c r="G25" s="5" t="s">
        <v>17</v>
      </c>
      <c r="H25" s="44">
        <v>4525.3</v>
      </c>
      <c r="I25" s="44"/>
      <c r="J25" s="44">
        <f>H25+I25</f>
        <v>4525.3</v>
      </c>
      <c r="K25" s="70"/>
      <c r="L25" s="44"/>
      <c r="M25" s="44">
        <v>-109.43</v>
      </c>
      <c r="N25" s="70">
        <f>L25+M25+K25+J25</f>
        <v>4415.87</v>
      </c>
      <c r="O25" s="106"/>
      <c r="P25" s="106"/>
      <c r="Q25" s="106"/>
      <c r="R25" s="107"/>
      <c r="S25" s="76">
        <f>4215.87-840</f>
        <v>3375.87</v>
      </c>
    </row>
    <row r="26" spans="1:19" ht="22.5" customHeight="1">
      <c r="A26" s="4" t="s">
        <v>58</v>
      </c>
      <c r="B26" s="5" t="s">
        <v>19</v>
      </c>
      <c r="C26" s="44">
        <v>25</v>
      </c>
      <c r="D26" s="44"/>
      <c r="E26" s="44">
        <f>C26+D26</f>
        <v>25</v>
      </c>
      <c r="F26" s="5" t="s">
        <v>104</v>
      </c>
      <c r="G26" s="5" t="s">
        <v>19</v>
      </c>
      <c r="H26" s="44">
        <v>25</v>
      </c>
      <c r="I26" s="44"/>
      <c r="J26" s="44">
        <f>H26+I26</f>
        <v>25</v>
      </c>
      <c r="K26" s="70"/>
      <c r="L26" s="44"/>
      <c r="M26" s="44">
        <v>109.43</v>
      </c>
      <c r="N26" s="70">
        <f>L26+M26+K26+J26</f>
        <v>134.43</v>
      </c>
      <c r="O26" s="106"/>
      <c r="P26" s="106"/>
      <c r="Q26" s="106"/>
      <c r="R26" s="107"/>
      <c r="S26" s="76">
        <v>134.43</v>
      </c>
    </row>
    <row r="27" spans="1:19" ht="117" customHeight="1" hidden="1">
      <c r="A27" s="13" t="s">
        <v>294</v>
      </c>
      <c r="B27" s="14"/>
      <c r="C27" s="43">
        <f>C28+C29+C30</f>
        <v>6490.099999999999</v>
      </c>
      <c r="D27" s="43">
        <f>D28+D29+D30</f>
        <v>0</v>
      </c>
      <c r="E27" s="43">
        <f>E28+E29+E30</f>
        <v>6490.099999999999</v>
      </c>
      <c r="F27" s="14" t="s">
        <v>105</v>
      </c>
      <c r="G27" s="14"/>
      <c r="H27" s="43">
        <f aca="true" t="shared" si="9" ref="H27:O27">H28+H29+H30</f>
        <v>6490.099999999999</v>
      </c>
      <c r="I27" s="43">
        <f t="shared" si="9"/>
        <v>0</v>
      </c>
      <c r="J27" s="43">
        <f t="shared" si="9"/>
        <v>6490.099999999999</v>
      </c>
      <c r="K27" s="69">
        <f t="shared" si="9"/>
        <v>0</v>
      </c>
      <c r="L27" s="43">
        <f t="shared" si="9"/>
        <v>0</v>
      </c>
      <c r="M27" s="43">
        <f t="shared" si="9"/>
        <v>-6490.099999999999</v>
      </c>
      <c r="N27" s="69">
        <f t="shared" si="9"/>
        <v>0</v>
      </c>
      <c r="O27" s="104">
        <f t="shared" si="9"/>
        <v>0</v>
      </c>
      <c r="P27" s="104"/>
      <c r="Q27" s="104">
        <f>Q28+Q29+Q30</f>
        <v>0</v>
      </c>
      <c r="R27" s="105">
        <f>R28+R29+R30</f>
        <v>0</v>
      </c>
      <c r="S27" s="73">
        <f>S28+S29+S30</f>
        <v>0</v>
      </c>
    </row>
    <row r="28" spans="1:19" ht="96" customHeight="1" hidden="1">
      <c r="A28" s="4" t="s">
        <v>59</v>
      </c>
      <c r="B28" s="5" t="s">
        <v>15</v>
      </c>
      <c r="C28" s="44">
        <v>5449.4</v>
      </c>
      <c r="D28" s="44"/>
      <c r="E28" s="44">
        <f>C28+D28</f>
        <v>5449.4</v>
      </c>
      <c r="F28" s="5" t="s">
        <v>105</v>
      </c>
      <c r="G28" s="5" t="s">
        <v>15</v>
      </c>
      <c r="H28" s="44">
        <v>5449.4</v>
      </c>
      <c r="I28" s="44"/>
      <c r="J28" s="44">
        <f>H28+I28</f>
        <v>5449.4</v>
      </c>
      <c r="K28" s="70"/>
      <c r="L28" s="44"/>
      <c r="M28" s="44">
        <v>-5449.4</v>
      </c>
      <c r="N28" s="70">
        <f>K28+L28+M28+J28</f>
        <v>0</v>
      </c>
      <c r="O28" s="106"/>
      <c r="P28" s="106"/>
      <c r="Q28" s="106"/>
      <c r="R28" s="107"/>
      <c r="S28" s="76">
        <f>Q28+R28+O28+N28</f>
        <v>0</v>
      </c>
    </row>
    <row r="29" spans="1:19" ht="35.25" customHeight="1" hidden="1">
      <c r="A29" s="4" t="s">
        <v>16</v>
      </c>
      <c r="B29" s="5" t="s">
        <v>17</v>
      </c>
      <c r="C29" s="44">
        <v>1040.7</v>
      </c>
      <c r="D29" s="44"/>
      <c r="E29" s="44">
        <f>C29+D29</f>
        <v>1040.7</v>
      </c>
      <c r="F29" s="5" t="s">
        <v>105</v>
      </c>
      <c r="G29" s="5" t="s">
        <v>17</v>
      </c>
      <c r="H29" s="44">
        <v>1040.7</v>
      </c>
      <c r="I29" s="44"/>
      <c r="J29" s="44">
        <f>H29+I29</f>
        <v>1040.7</v>
      </c>
      <c r="K29" s="70"/>
      <c r="L29" s="44"/>
      <c r="M29" s="44">
        <v>-1040.7</v>
      </c>
      <c r="N29" s="70">
        <f>K29+L29+M29+J29</f>
        <v>0</v>
      </c>
      <c r="O29" s="106"/>
      <c r="P29" s="106"/>
      <c r="Q29" s="106"/>
      <c r="R29" s="107"/>
      <c r="S29" s="76">
        <f>Q29+R29+O29+N29</f>
        <v>0</v>
      </c>
    </row>
    <row r="30" spans="1:19" ht="20.25" customHeight="1" hidden="1">
      <c r="A30" s="4" t="s">
        <v>58</v>
      </c>
      <c r="B30" s="5" t="s">
        <v>19</v>
      </c>
      <c r="C30" s="44">
        <v>0</v>
      </c>
      <c r="D30" s="44"/>
      <c r="E30" s="44">
        <f>C30+D30</f>
        <v>0</v>
      </c>
      <c r="F30" s="5" t="s">
        <v>105</v>
      </c>
      <c r="G30" s="5" t="s">
        <v>19</v>
      </c>
      <c r="H30" s="44">
        <v>0</v>
      </c>
      <c r="I30" s="44"/>
      <c r="J30" s="44">
        <f>H30+I30</f>
        <v>0</v>
      </c>
      <c r="K30" s="70"/>
      <c r="L30" s="44"/>
      <c r="M30" s="44"/>
      <c r="N30" s="70">
        <f>K30+L30+M30+J30</f>
        <v>0</v>
      </c>
      <c r="O30" s="106"/>
      <c r="P30" s="106"/>
      <c r="Q30" s="106"/>
      <c r="R30" s="107"/>
      <c r="S30" s="76">
        <f>Q30+R30+O30+N30</f>
        <v>0</v>
      </c>
    </row>
    <row r="31" spans="1:19" ht="95.25" customHeight="1">
      <c r="A31" s="28" t="s">
        <v>315</v>
      </c>
      <c r="B31" s="29"/>
      <c r="C31" s="50">
        <f>C32+C33</f>
        <v>5060</v>
      </c>
      <c r="D31" s="50">
        <f>D32+D33</f>
        <v>0</v>
      </c>
      <c r="E31" s="50">
        <f>E32+E33</f>
        <v>5060</v>
      </c>
      <c r="F31" s="29" t="s">
        <v>314</v>
      </c>
      <c r="G31" s="29"/>
      <c r="H31" s="50">
        <f>H32+H33</f>
        <v>5060</v>
      </c>
      <c r="I31" s="50">
        <f>I32+I33</f>
        <v>0</v>
      </c>
      <c r="J31" s="50">
        <f>J32+J33</f>
        <v>5060</v>
      </c>
      <c r="K31" s="72">
        <f>K32+K33</f>
        <v>0</v>
      </c>
      <c r="L31" s="50">
        <f>L32+L33</f>
        <v>0</v>
      </c>
      <c r="M31" s="50">
        <f>M32+M33+M34</f>
        <v>6490.099999999999</v>
      </c>
      <c r="N31" s="72">
        <f>N32+N33+N34</f>
        <v>11550.099999999999</v>
      </c>
      <c r="O31" s="108">
        <f>O32+O33</f>
        <v>134.29</v>
      </c>
      <c r="P31" s="108"/>
      <c r="Q31" s="108">
        <f>Q32+Q33</f>
        <v>0</v>
      </c>
      <c r="R31" s="109">
        <f>R32+R33+R34</f>
        <v>380</v>
      </c>
      <c r="S31" s="77">
        <f>S32+S33+S34</f>
        <v>12064.39</v>
      </c>
    </row>
    <row r="32" spans="1:19" ht="100.5" customHeight="1">
      <c r="A32" s="4" t="s">
        <v>60</v>
      </c>
      <c r="B32" s="5" t="s">
        <v>15</v>
      </c>
      <c r="C32" s="44">
        <v>4110.9</v>
      </c>
      <c r="D32" s="44"/>
      <c r="E32" s="44">
        <f>C32+D32</f>
        <v>4110.9</v>
      </c>
      <c r="F32" s="5" t="s">
        <v>314</v>
      </c>
      <c r="G32" s="5" t="s">
        <v>15</v>
      </c>
      <c r="H32" s="44">
        <v>4110.9</v>
      </c>
      <c r="I32" s="44"/>
      <c r="J32" s="44">
        <f>H32+I32</f>
        <v>4110.9</v>
      </c>
      <c r="K32" s="70"/>
      <c r="L32" s="44"/>
      <c r="M32" s="44">
        <v>5824.86</v>
      </c>
      <c r="N32" s="70">
        <f>J32+K32+L32+M32</f>
        <v>9935.759999999998</v>
      </c>
      <c r="O32" s="106"/>
      <c r="P32" s="106"/>
      <c r="Q32" s="106"/>
      <c r="R32" s="107">
        <v>-25</v>
      </c>
      <c r="S32" s="76">
        <f>10028.26+20</f>
        <v>10048.26</v>
      </c>
    </row>
    <row r="33" spans="1:19" ht="43.5" customHeight="1">
      <c r="A33" s="4" t="s">
        <v>16</v>
      </c>
      <c r="B33" s="5" t="s">
        <v>17</v>
      </c>
      <c r="C33" s="44">
        <v>949.1</v>
      </c>
      <c r="D33" s="44"/>
      <c r="E33" s="44">
        <f>C33+D33</f>
        <v>949.1</v>
      </c>
      <c r="F33" s="5" t="s">
        <v>314</v>
      </c>
      <c r="G33" s="5" t="s">
        <v>17</v>
      </c>
      <c r="H33" s="44">
        <v>949.1</v>
      </c>
      <c r="I33" s="44"/>
      <c r="J33" s="44">
        <f>H33+I33</f>
        <v>949.1</v>
      </c>
      <c r="K33" s="70"/>
      <c r="L33" s="44"/>
      <c r="M33" s="44">
        <v>635.24</v>
      </c>
      <c r="N33" s="70">
        <f>J33+K33+L33+M33</f>
        <v>1584.3400000000001</v>
      </c>
      <c r="O33" s="106">
        <v>134.29</v>
      </c>
      <c r="P33" s="106"/>
      <c r="Q33" s="106"/>
      <c r="R33" s="107">
        <f>25+380</f>
        <v>405</v>
      </c>
      <c r="S33" s="76">
        <f>2006.13-20</f>
        <v>1986.13</v>
      </c>
    </row>
    <row r="34" spans="1:19" ht="22.5" customHeight="1">
      <c r="A34" s="4" t="s">
        <v>58</v>
      </c>
      <c r="B34" s="5"/>
      <c r="C34" s="44"/>
      <c r="D34" s="44"/>
      <c r="E34" s="44"/>
      <c r="F34" s="5" t="s">
        <v>314</v>
      </c>
      <c r="G34" s="5" t="s">
        <v>19</v>
      </c>
      <c r="H34" s="44"/>
      <c r="I34" s="44"/>
      <c r="J34" s="44"/>
      <c r="K34" s="70"/>
      <c r="L34" s="44"/>
      <c r="M34" s="44">
        <v>30</v>
      </c>
      <c r="N34" s="70">
        <f>M34</f>
        <v>30</v>
      </c>
      <c r="O34" s="106"/>
      <c r="P34" s="106"/>
      <c r="Q34" s="106"/>
      <c r="R34" s="107"/>
      <c r="S34" s="76">
        <v>30</v>
      </c>
    </row>
    <row r="35" spans="1:19" ht="33" customHeight="1">
      <c r="A35" s="10" t="s">
        <v>61</v>
      </c>
      <c r="B35" s="9"/>
      <c r="C35" s="42">
        <f>C36+C40+C42</f>
        <v>1790</v>
      </c>
      <c r="D35" s="42">
        <f>D36+D40+D42</f>
        <v>1260.08</v>
      </c>
      <c r="E35" s="42">
        <f>E36+E40+E42</f>
        <v>3050.08</v>
      </c>
      <c r="F35" s="9" t="s">
        <v>106</v>
      </c>
      <c r="G35" s="9"/>
      <c r="H35" s="42">
        <f aca="true" t="shared" si="10" ref="H35:O35">H36+H40+H42</f>
        <v>1790</v>
      </c>
      <c r="I35" s="42">
        <f t="shared" si="10"/>
        <v>1260.08</v>
      </c>
      <c r="J35" s="42">
        <f t="shared" si="10"/>
        <v>3050.08</v>
      </c>
      <c r="K35" s="68">
        <f t="shared" si="10"/>
        <v>0</v>
      </c>
      <c r="L35" s="42">
        <f t="shared" si="10"/>
        <v>0</v>
      </c>
      <c r="M35" s="42">
        <f t="shared" si="10"/>
        <v>26</v>
      </c>
      <c r="N35" s="68">
        <f t="shared" si="10"/>
        <v>3076.08</v>
      </c>
      <c r="O35" s="102">
        <f t="shared" si="10"/>
        <v>0</v>
      </c>
      <c r="P35" s="102"/>
      <c r="Q35" s="102">
        <f>Q36+Q40+Q42</f>
        <v>0</v>
      </c>
      <c r="R35" s="103">
        <f>R36+R40+R42</f>
        <v>0</v>
      </c>
      <c r="S35" s="75">
        <f>S36+S40+S42</f>
        <v>3526.58</v>
      </c>
    </row>
    <row r="36" spans="1:19" s="34" customFormat="1" ht="74.25" customHeight="1">
      <c r="A36" s="28" t="s">
        <v>380</v>
      </c>
      <c r="B36" s="29"/>
      <c r="C36" s="50">
        <f>C38</f>
        <v>1690</v>
      </c>
      <c r="D36" s="50">
        <f>D38</f>
        <v>0</v>
      </c>
      <c r="E36" s="50">
        <f>E38</f>
        <v>1690</v>
      </c>
      <c r="F36" s="29" t="s">
        <v>107</v>
      </c>
      <c r="G36" s="29"/>
      <c r="H36" s="50">
        <f>H38</f>
        <v>1690</v>
      </c>
      <c r="I36" s="50">
        <f>I38</f>
        <v>0</v>
      </c>
      <c r="J36" s="50">
        <f aca="true" t="shared" si="11" ref="J36:O36">J37</f>
        <v>1690</v>
      </c>
      <c r="K36" s="50">
        <f t="shared" si="11"/>
        <v>0</v>
      </c>
      <c r="L36" s="50">
        <f t="shared" si="11"/>
        <v>0</v>
      </c>
      <c r="M36" s="50">
        <f t="shared" si="11"/>
        <v>0</v>
      </c>
      <c r="N36" s="72">
        <f t="shared" si="11"/>
        <v>1690</v>
      </c>
      <c r="O36" s="109">
        <f t="shared" si="11"/>
        <v>0</v>
      </c>
      <c r="P36" s="109"/>
      <c r="Q36" s="108">
        <f>Q37</f>
        <v>0</v>
      </c>
      <c r="R36" s="109">
        <f>R37</f>
        <v>0</v>
      </c>
      <c r="S36" s="77">
        <f>S37</f>
        <v>1690</v>
      </c>
    </row>
    <row r="37" spans="1:19" s="24" customFormat="1" ht="51.75" customHeight="1">
      <c r="A37" s="26" t="s">
        <v>381</v>
      </c>
      <c r="B37" s="27"/>
      <c r="C37" s="51"/>
      <c r="D37" s="51"/>
      <c r="E37" s="51"/>
      <c r="F37" s="27" t="s">
        <v>107</v>
      </c>
      <c r="G37" s="27"/>
      <c r="H37" s="51"/>
      <c r="I37" s="51"/>
      <c r="J37" s="51">
        <f>J38</f>
        <v>1690</v>
      </c>
      <c r="K37" s="81"/>
      <c r="L37" s="51"/>
      <c r="M37" s="51"/>
      <c r="N37" s="81">
        <f>N38</f>
        <v>1690</v>
      </c>
      <c r="O37" s="110"/>
      <c r="P37" s="110"/>
      <c r="Q37" s="110"/>
      <c r="R37" s="111"/>
      <c r="S37" s="74">
        <f>S38</f>
        <v>1690</v>
      </c>
    </row>
    <row r="38" spans="1:19" ht="95.25" customHeight="1">
      <c r="A38" s="4" t="s">
        <v>60</v>
      </c>
      <c r="B38" s="5" t="s">
        <v>15</v>
      </c>
      <c r="C38" s="44">
        <v>1690</v>
      </c>
      <c r="D38" s="44"/>
      <c r="E38" s="44">
        <f>C38+D38</f>
        <v>1690</v>
      </c>
      <c r="F38" s="5" t="s">
        <v>107</v>
      </c>
      <c r="G38" s="5" t="s">
        <v>15</v>
      </c>
      <c r="H38" s="44">
        <v>1690</v>
      </c>
      <c r="I38" s="44"/>
      <c r="J38" s="44">
        <f>H38+I38</f>
        <v>1690</v>
      </c>
      <c r="K38" s="70"/>
      <c r="L38" s="44"/>
      <c r="M38" s="44"/>
      <c r="N38" s="70">
        <f>J38+K38+L38+M38</f>
        <v>1690</v>
      </c>
      <c r="O38" s="106"/>
      <c r="P38" s="106"/>
      <c r="Q38" s="106"/>
      <c r="R38" s="107"/>
      <c r="S38" s="76">
        <v>1690</v>
      </c>
    </row>
    <row r="39" spans="1:19" ht="48" customHeight="1">
      <c r="A39" s="13" t="s">
        <v>383</v>
      </c>
      <c r="B39" s="14"/>
      <c r="C39" s="43"/>
      <c r="D39" s="43"/>
      <c r="E39" s="43"/>
      <c r="F39" s="14" t="s">
        <v>108</v>
      </c>
      <c r="G39" s="14"/>
      <c r="H39" s="43"/>
      <c r="I39" s="43"/>
      <c r="J39" s="43">
        <f aca="true" t="shared" si="12" ref="J39:O40">J40</f>
        <v>100</v>
      </c>
      <c r="K39" s="43">
        <f t="shared" si="12"/>
        <v>0</v>
      </c>
      <c r="L39" s="43">
        <f t="shared" si="12"/>
        <v>0</v>
      </c>
      <c r="M39" s="43">
        <f t="shared" si="12"/>
        <v>0</v>
      </c>
      <c r="N39" s="69">
        <f t="shared" si="12"/>
        <v>100</v>
      </c>
      <c r="O39" s="105">
        <f t="shared" si="12"/>
        <v>0</v>
      </c>
      <c r="P39" s="105"/>
      <c r="Q39" s="104">
        <f aca="true" t="shared" si="13" ref="Q39:S40">Q40</f>
        <v>0</v>
      </c>
      <c r="R39" s="105">
        <f t="shared" si="13"/>
        <v>0</v>
      </c>
      <c r="S39" s="76">
        <f t="shared" si="13"/>
        <v>100</v>
      </c>
    </row>
    <row r="40" spans="1:19" s="2" customFormat="1" ht="48" customHeight="1">
      <c r="A40" s="4" t="s">
        <v>4</v>
      </c>
      <c r="B40" s="5"/>
      <c r="C40" s="44">
        <f>C41</f>
        <v>100</v>
      </c>
      <c r="D40" s="44">
        <f>D41</f>
        <v>0</v>
      </c>
      <c r="E40" s="44">
        <f>E41</f>
        <v>100</v>
      </c>
      <c r="F40" s="5" t="s">
        <v>108</v>
      </c>
      <c r="G40" s="5"/>
      <c r="H40" s="44">
        <f>H41</f>
        <v>100</v>
      </c>
      <c r="I40" s="44">
        <f>I41</f>
        <v>0</v>
      </c>
      <c r="J40" s="44">
        <f t="shared" si="12"/>
        <v>100</v>
      </c>
      <c r="K40" s="70">
        <f t="shared" si="12"/>
        <v>0</v>
      </c>
      <c r="L40" s="44">
        <f t="shared" si="12"/>
        <v>0</v>
      </c>
      <c r="M40" s="44">
        <f t="shared" si="12"/>
        <v>0</v>
      </c>
      <c r="N40" s="70">
        <f t="shared" si="12"/>
        <v>100</v>
      </c>
      <c r="O40" s="106">
        <f t="shared" si="12"/>
        <v>0</v>
      </c>
      <c r="P40" s="106"/>
      <c r="Q40" s="106">
        <f t="shared" si="13"/>
        <v>0</v>
      </c>
      <c r="R40" s="107">
        <f t="shared" si="13"/>
        <v>0</v>
      </c>
      <c r="S40" s="76">
        <f t="shared" si="13"/>
        <v>100</v>
      </c>
    </row>
    <row r="41" spans="1:19" ht="36" customHeight="1">
      <c r="A41" s="4" t="s">
        <v>16</v>
      </c>
      <c r="B41" s="5" t="s">
        <v>17</v>
      </c>
      <c r="C41" s="44">
        <v>100</v>
      </c>
      <c r="D41" s="44"/>
      <c r="E41" s="44">
        <f>C41+D41</f>
        <v>100</v>
      </c>
      <c r="F41" s="5" t="s">
        <v>108</v>
      </c>
      <c r="G41" s="5" t="s">
        <v>17</v>
      </c>
      <c r="H41" s="44">
        <v>100</v>
      </c>
      <c r="I41" s="44"/>
      <c r="J41" s="44">
        <f>H41+I41</f>
        <v>100</v>
      </c>
      <c r="K41" s="70"/>
      <c r="L41" s="44"/>
      <c r="M41" s="44"/>
      <c r="N41" s="70">
        <f>J41+K41+L41+M41</f>
        <v>100</v>
      </c>
      <c r="O41" s="106"/>
      <c r="P41" s="106"/>
      <c r="Q41" s="106"/>
      <c r="R41" s="107"/>
      <c r="S41" s="76">
        <v>100</v>
      </c>
    </row>
    <row r="42" spans="1:19" ht="36" customHeight="1">
      <c r="A42" s="13" t="s">
        <v>296</v>
      </c>
      <c r="B42" s="14"/>
      <c r="C42" s="43"/>
      <c r="D42" s="43">
        <f>D43</f>
        <v>1260.08</v>
      </c>
      <c r="E42" s="43">
        <f>C42+D42</f>
        <v>1260.08</v>
      </c>
      <c r="F42" s="14" t="s">
        <v>297</v>
      </c>
      <c r="G42" s="14"/>
      <c r="H42" s="43"/>
      <c r="I42" s="43">
        <f aca="true" t="shared" si="14" ref="I42:O42">I43</f>
        <v>1260.08</v>
      </c>
      <c r="J42" s="43">
        <f t="shared" si="14"/>
        <v>1260.08</v>
      </c>
      <c r="K42" s="69">
        <f t="shared" si="14"/>
        <v>0</v>
      </c>
      <c r="L42" s="43">
        <f t="shared" si="14"/>
        <v>0</v>
      </c>
      <c r="M42" s="43">
        <f t="shared" si="14"/>
        <v>26</v>
      </c>
      <c r="N42" s="69">
        <f t="shared" si="14"/>
        <v>1286.08</v>
      </c>
      <c r="O42" s="104">
        <f t="shared" si="14"/>
        <v>0</v>
      </c>
      <c r="P42" s="104"/>
      <c r="Q42" s="104">
        <f>Q43</f>
        <v>0</v>
      </c>
      <c r="R42" s="105">
        <f>R43+R44</f>
        <v>0</v>
      </c>
      <c r="S42" s="75">
        <f>S43+S44</f>
        <v>1736.58</v>
      </c>
    </row>
    <row r="43" spans="1:19" ht="36" customHeight="1">
      <c r="A43" s="4" t="s">
        <v>16</v>
      </c>
      <c r="B43" s="5" t="s">
        <v>17</v>
      </c>
      <c r="C43" s="44"/>
      <c r="D43" s="44">
        <v>1260.08</v>
      </c>
      <c r="E43" s="44">
        <f>C43+D43</f>
        <v>1260.08</v>
      </c>
      <c r="F43" s="5" t="s">
        <v>297</v>
      </c>
      <c r="G43" s="5" t="s">
        <v>17</v>
      </c>
      <c r="H43" s="44"/>
      <c r="I43" s="44">
        <v>1260.08</v>
      </c>
      <c r="J43" s="44">
        <f>H43+I43</f>
        <v>1260.08</v>
      </c>
      <c r="K43" s="70"/>
      <c r="L43" s="44"/>
      <c r="M43" s="44">
        <v>26</v>
      </c>
      <c r="N43" s="70">
        <f>J43+M43+K43</f>
        <v>1286.08</v>
      </c>
      <c r="O43" s="106"/>
      <c r="P43" s="106"/>
      <c r="Q43" s="106"/>
      <c r="R43" s="107">
        <v>-26</v>
      </c>
      <c r="S43" s="76">
        <v>1710.58</v>
      </c>
    </row>
    <row r="44" spans="1:19" ht="22.5" customHeight="1">
      <c r="A44" s="4" t="s">
        <v>58</v>
      </c>
      <c r="B44" s="5"/>
      <c r="C44" s="44"/>
      <c r="D44" s="44"/>
      <c r="E44" s="44"/>
      <c r="F44" s="5" t="s">
        <v>297</v>
      </c>
      <c r="G44" s="5" t="s">
        <v>19</v>
      </c>
      <c r="H44" s="44"/>
      <c r="I44" s="44"/>
      <c r="J44" s="44"/>
      <c r="K44" s="70"/>
      <c r="L44" s="44"/>
      <c r="M44" s="44"/>
      <c r="N44" s="70"/>
      <c r="O44" s="106"/>
      <c r="P44" s="106"/>
      <c r="Q44" s="106"/>
      <c r="R44" s="107">
        <v>26</v>
      </c>
      <c r="S44" s="76">
        <v>26</v>
      </c>
    </row>
    <row r="45" spans="1:19" ht="24.75" customHeight="1">
      <c r="A45" s="30" t="s">
        <v>109</v>
      </c>
      <c r="B45" s="31"/>
      <c r="C45" s="40" t="e">
        <f>C46</f>
        <v>#REF!</v>
      </c>
      <c r="D45" s="40" t="e">
        <f>D46</f>
        <v>#REF!</v>
      </c>
      <c r="E45" s="40" t="e">
        <f>E46</f>
        <v>#REF!</v>
      </c>
      <c r="F45" s="31" t="s">
        <v>20</v>
      </c>
      <c r="G45" s="31"/>
      <c r="H45" s="40" t="e">
        <f aca="true" t="shared" si="15" ref="H45:O45">H46</f>
        <v>#REF!</v>
      </c>
      <c r="I45" s="40" t="e">
        <f t="shared" si="15"/>
        <v>#REF!</v>
      </c>
      <c r="J45" s="40" t="e">
        <f t="shared" si="15"/>
        <v>#REF!</v>
      </c>
      <c r="K45" s="66" t="e">
        <f t="shared" si="15"/>
        <v>#REF!</v>
      </c>
      <c r="L45" s="40" t="e">
        <f t="shared" si="15"/>
        <v>#REF!</v>
      </c>
      <c r="M45" s="40" t="e">
        <f t="shared" si="15"/>
        <v>#REF!</v>
      </c>
      <c r="N45" s="66" t="e">
        <f t="shared" si="15"/>
        <v>#REF!</v>
      </c>
      <c r="O45" s="98" t="e">
        <f t="shared" si="15"/>
        <v>#REF!</v>
      </c>
      <c r="P45" s="98"/>
      <c r="Q45" s="98" t="e">
        <f>Q46</f>
        <v>#REF!</v>
      </c>
      <c r="R45" s="99" t="e">
        <f>R46</f>
        <v>#REF!</v>
      </c>
      <c r="S45" s="134">
        <f>S46</f>
        <v>680134.3200000001</v>
      </c>
    </row>
    <row r="46" spans="1:19" s="36" customFormat="1" ht="38.25" customHeight="1">
      <c r="A46" s="12" t="s">
        <v>151</v>
      </c>
      <c r="B46" s="23"/>
      <c r="C46" s="45" t="e">
        <f>C47+C56+C67+C76</f>
        <v>#REF!</v>
      </c>
      <c r="D46" s="45" t="e">
        <f>D47+D56+D67+D76</f>
        <v>#REF!</v>
      </c>
      <c r="E46" s="45" t="e">
        <f>E47+E56+E67+E76</f>
        <v>#REF!</v>
      </c>
      <c r="F46" s="23" t="s">
        <v>110</v>
      </c>
      <c r="G46" s="23"/>
      <c r="H46" s="45" t="e">
        <f aca="true" t="shared" si="16" ref="H46:O46">H47+H56+H67+H76</f>
        <v>#REF!</v>
      </c>
      <c r="I46" s="45" t="e">
        <f t="shared" si="16"/>
        <v>#REF!</v>
      </c>
      <c r="J46" s="45" t="e">
        <f t="shared" si="16"/>
        <v>#REF!</v>
      </c>
      <c r="K46" s="67" t="e">
        <f t="shared" si="16"/>
        <v>#REF!</v>
      </c>
      <c r="L46" s="45" t="e">
        <f t="shared" si="16"/>
        <v>#REF!</v>
      </c>
      <c r="M46" s="45" t="e">
        <f t="shared" si="16"/>
        <v>#REF!</v>
      </c>
      <c r="N46" s="67" t="e">
        <f t="shared" si="16"/>
        <v>#REF!</v>
      </c>
      <c r="O46" s="100" t="e">
        <f t="shared" si="16"/>
        <v>#REF!</v>
      </c>
      <c r="P46" s="100"/>
      <c r="Q46" s="100" t="e">
        <f>Q47+Q56+Q67+Q76</f>
        <v>#REF!</v>
      </c>
      <c r="R46" s="101" t="e">
        <f>R47+R56+R67+R76</f>
        <v>#REF!</v>
      </c>
      <c r="S46" s="71">
        <f>S47+S56+S67+S76</f>
        <v>680134.3200000001</v>
      </c>
    </row>
    <row r="47" spans="1:19" ht="41.25" customHeight="1">
      <c r="A47" s="15" t="s">
        <v>403</v>
      </c>
      <c r="B47" s="16"/>
      <c r="C47" s="46" t="e">
        <f>C48+#REF!+C52</f>
        <v>#REF!</v>
      </c>
      <c r="D47" s="46" t="e">
        <f>D48+#REF!+D52</f>
        <v>#REF!</v>
      </c>
      <c r="E47" s="46" t="e">
        <f>E48+#REF!+E52</f>
        <v>#REF!</v>
      </c>
      <c r="F47" s="16" t="s">
        <v>111</v>
      </c>
      <c r="G47" s="16"/>
      <c r="H47" s="46" t="e">
        <f>H48+#REF!+H52</f>
        <v>#REF!</v>
      </c>
      <c r="I47" s="46" t="e">
        <f>I48+#REF!+I52</f>
        <v>#REF!</v>
      </c>
      <c r="J47" s="46" t="e">
        <f>J48+#REF!+J52+J54</f>
        <v>#REF!</v>
      </c>
      <c r="K47" s="46" t="e">
        <f>K48+#REF!+K52+K54</f>
        <v>#REF!</v>
      </c>
      <c r="L47" s="46" t="e">
        <f>L48+#REF!+L52+L54</f>
        <v>#REF!</v>
      </c>
      <c r="M47" s="46" t="e">
        <f>M48+#REF!+M52+M54</f>
        <v>#REF!</v>
      </c>
      <c r="N47" s="71" t="e">
        <f>N48+#REF!+N52+N54</f>
        <v>#REF!</v>
      </c>
      <c r="O47" s="101" t="e">
        <f>O48+#REF!+O52+O54</f>
        <v>#REF!</v>
      </c>
      <c r="P47" s="101"/>
      <c r="Q47" s="100" t="e">
        <f>Q48+#REF!+Q52+Q54</f>
        <v>#REF!</v>
      </c>
      <c r="R47" s="101" t="e">
        <f>R48+#REF!+R52+R54</f>
        <v>#REF!</v>
      </c>
      <c r="S47" s="71">
        <f>S48+S52+S54</f>
        <v>386620.25</v>
      </c>
    </row>
    <row r="48" spans="1:19" ht="81.75" customHeight="1">
      <c r="A48" s="13" t="s">
        <v>63</v>
      </c>
      <c r="B48" s="14"/>
      <c r="C48" s="43">
        <f>C49</f>
        <v>55064.4</v>
      </c>
      <c r="D48" s="43" t="e">
        <f>D49</f>
        <v>#REF!</v>
      </c>
      <c r="E48" s="43" t="e">
        <f>E49</f>
        <v>#REF!</v>
      </c>
      <c r="F48" s="29" t="s">
        <v>371</v>
      </c>
      <c r="G48" s="14"/>
      <c r="H48" s="43">
        <f aca="true" t="shared" si="17" ref="H48:O48">H49</f>
        <v>55064.4</v>
      </c>
      <c r="I48" s="43" t="e">
        <f t="shared" si="17"/>
        <v>#REF!</v>
      </c>
      <c r="J48" s="43">
        <f t="shared" si="17"/>
        <v>56535.6</v>
      </c>
      <c r="K48" s="69">
        <f t="shared" si="17"/>
        <v>18.16</v>
      </c>
      <c r="L48" s="43">
        <f t="shared" si="17"/>
        <v>0</v>
      </c>
      <c r="M48" s="43">
        <f t="shared" si="17"/>
        <v>0</v>
      </c>
      <c r="N48" s="69">
        <f t="shared" si="17"/>
        <v>56553.76</v>
      </c>
      <c r="O48" s="104">
        <f t="shared" si="17"/>
        <v>126.31</v>
      </c>
      <c r="P48" s="104"/>
      <c r="Q48" s="104">
        <f>Q49</f>
        <v>0</v>
      </c>
      <c r="R48" s="105">
        <f>R49</f>
        <v>0</v>
      </c>
      <c r="S48" s="73">
        <f>S49</f>
        <v>66795.79000000001</v>
      </c>
    </row>
    <row r="49" spans="1:19" ht="57" customHeight="1">
      <c r="A49" s="4" t="s">
        <v>70</v>
      </c>
      <c r="B49" s="5"/>
      <c r="C49" s="44">
        <f>C51</f>
        <v>55064.4</v>
      </c>
      <c r="D49" s="44" t="e">
        <f>D51+#REF!</f>
        <v>#REF!</v>
      </c>
      <c r="E49" s="44" t="e">
        <f>E51+#REF!</f>
        <v>#REF!</v>
      </c>
      <c r="F49" s="5" t="s">
        <v>112</v>
      </c>
      <c r="G49" s="5"/>
      <c r="H49" s="44">
        <f>H51</f>
        <v>55064.4</v>
      </c>
      <c r="I49" s="44" t="e">
        <f>I51+#REF!</f>
        <v>#REF!</v>
      </c>
      <c r="J49" s="44">
        <f aca="true" t="shared" si="18" ref="J49:O49">J50+J51</f>
        <v>56535.6</v>
      </c>
      <c r="K49" s="70">
        <f t="shared" si="18"/>
        <v>18.16</v>
      </c>
      <c r="L49" s="44">
        <f t="shared" si="18"/>
        <v>0</v>
      </c>
      <c r="M49" s="44">
        <f t="shared" si="18"/>
        <v>0</v>
      </c>
      <c r="N49" s="70">
        <f t="shared" si="18"/>
        <v>56553.76</v>
      </c>
      <c r="O49" s="106">
        <f t="shared" si="18"/>
        <v>126.31</v>
      </c>
      <c r="P49" s="106"/>
      <c r="Q49" s="106">
        <f>Q50+Q51</f>
        <v>0</v>
      </c>
      <c r="R49" s="107">
        <f>R50+R51</f>
        <v>0</v>
      </c>
      <c r="S49" s="76">
        <f>S50+S51</f>
        <v>66795.79000000001</v>
      </c>
    </row>
    <row r="50" spans="1:19" ht="48.75" customHeight="1">
      <c r="A50" s="4" t="s">
        <v>16</v>
      </c>
      <c r="B50" s="5" t="s">
        <v>17</v>
      </c>
      <c r="C50" s="44"/>
      <c r="D50" s="44">
        <v>1471.2</v>
      </c>
      <c r="E50" s="44">
        <f>C50+D50</f>
        <v>1471.2</v>
      </c>
      <c r="F50" s="5" t="s">
        <v>112</v>
      </c>
      <c r="G50" s="5" t="s">
        <v>17</v>
      </c>
      <c r="H50" s="44"/>
      <c r="I50" s="44">
        <v>1471.2</v>
      </c>
      <c r="J50" s="44">
        <f>H50+I50</f>
        <v>1471.2</v>
      </c>
      <c r="K50" s="70">
        <v>18.16</v>
      </c>
      <c r="L50" s="44"/>
      <c r="M50" s="44"/>
      <c r="N50" s="70">
        <f>J50+K50+L50+M50</f>
        <v>1489.3600000000001</v>
      </c>
      <c r="O50" s="106">
        <v>126.31</v>
      </c>
      <c r="P50" s="106"/>
      <c r="Q50" s="106"/>
      <c r="R50" s="107"/>
      <c r="S50" s="76">
        <v>6731.39</v>
      </c>
    </row>
    <row r="51" spans="1:19" ht="54" customHeight="1">
      <c r="A51" s="4" t="s">
        <v>69</v>
      </c>
      <c r="B51" s="5" t="s">
        <v>13</v>
      </c>
      <c r="C51" s="44">
        <f>53708.9+1355.5</f>
        <v>55064.4</v>
      </c>
      <c r="D51" s="44"/>
      <c r="E51" s="44">
        <f>C51+D51</f>
        <v>55064.4</v>
      </c>
      <c r="F51" s="5" t="s">
        <v>112</v>
      </c>
      <c r="G51" s="5" t="s">
        <v>13</v>
      </c>
      <c r="H51" s="44">
        <f>53708.9+1355.5</f>
        <v>55064.4</v>
      </c>
      <c r="I51" s="44"/>
      <c r="J51" s="44">
        <f>H51+I51</f>
        <v>55064.4</v>
      </c>
      <c r="K51" s="70"/>
      <c r="L51" s="44"/>
      <c r="M51" s="44"/>
      <c r="N51" s="70">
        <f>J51+K51+L51+M51</f>
        <v>55064.4</v>
      </c>
      <c r="O51" s="106"/>
      <c r="P51" s="106"/>
      <c r="Q51" s="106"/>
      <c r="R51" s="107"/>
      <c r="S51" s="76">
        <f>55064.4+3500+1500</f>
        <v>60064.4</v>
      </c>
    </row>
    <row r="52" spans="1:19" ht="98.25" customHeight="1">
      <c r="A52" s="28" t="s">
        <v>316</v>
      </c>
      <c r="B52" s="29"/>
      <c r="C52" s="50">
        <f>C53</f>
        <v>93824.46</v>
      </c>
      <c r="D52" s="50">
        <f>D53</f>
        <v>0</v>
      </c>
      <c r="E52" s="50">
        <f>E53</f>
        <v>93824.46</v>
      </c>
      <c r="F52" s="29" t="s">
        <v>113</v>
      </c>
      <c r="G52" s="29"/>
      <c r="H52" s="50">
        <f aca="true" t="shared" si="19" ref="H52:O52">H53</f>
        <v>93824.46</v>
      </c>
      <c r="I52" s="50">
        <f t="shared" si="19"/>
        <v>0</v>
      </c>
      <c r="J52" s="50">
        <f t="shared" si="19"/>
        <v>93824.46</v>
      </c>
      <c r="K52" s="72">
        <f t="shared" si="19"/>
        <v>0</v>
      </c>
      <c r="L52" s="50">
        <f t="shared" si="19"/>
        <v>0</v>
      </c>
      <c r="M52" s="50">
        <f t="shared" si="19"/>
        <v>0</v>
      </c>
      <c r="N52" s="72">
        <f t="shared" si="19"/>
        <v>93824.46</v>
      </c>
      <c r="O52" s="108">
        <f t="shared" si="19"/>
        <v>0</v>
      </c>
      <c r="P52" s="108"/>
      <c r="Q52" s="108">
        <f>Q53</f>
        <v>0</v>
      </c>
      <c r="R52" s="109">
        <f>R53</f>
        <v>0</v>
      </c>
      <c r="S52" s="77">
        <f>S53</f>
        <v>93824.46</v>
      </c>
    </row>
    <row r="53" spans="1:19" ht="54.75" customHeight="1">
      <c r="A53" s="4" t="s">
        <v>69</v>
      </c>
      <c r="B53" s="5" t="s">
        <v>13</v>
      </c>
      <c r="C53" s="44">
        <v>93824.46</v>
      </c>
      <c r="D53" s="44"/>
      <c r="E53" s="44">
        <f>C53+D53</f>
        <v>93824.46</v>
      </c>
      <c r="F53" s="5" t="s">
        <v>113</v>
      </c>
      <c r="G53" s="5" t="s">
        <v>13</v>
      </c>
      <c r="H53" s="44">
        <v>93824.46</v>
      </c>
      <c r="I53" s="44"/>
      <c r="J53" s="44">
        <f>H53+I53</f>
        <v>93824.46</v>
      </c>
      <c r="K53" s="70"/>
      <c r="L53" s="44"/>
      <c r="M53" s="44"/>
      <c r="N53" s="70">
        <f>J53+K53+L53+M53</f>
        <v>93824.46</v>
      </c>
      <c r="O53" s="106"/>
      <c r="P53" s="106"/>
      <c r="Q53" s="106"/>
      <c r="R53" s="107"/>
      <c r="S53" s="76">
        <v>93824.46</v>
      </c>
    </row>
    <row r="54" spans="1:19" ht="95.25" customHeight="1">
      <c r="A54" s="13" t="s">
        <v>358</v>
      </c>
      <c r="B54" s="14"/>
      <c r="C54" s="43"/>
      <c r="D54" s="43"/>
      <c r="E54" s="43"/>
      <c r="F54" s="14" t="s">
        <v>359</v>
      </c>
      <c r="G54" s="14"/>
      <c r="H54" s="43"/>
      <c r="I54" s="43"/>
      <c r="J54" s="43"/>
      <c r="K54" s="69"/>
      <c r="L54" s="43">
        <f>L55</f>
        <v>110766.98</v>
      </c>
      <c r="M54" s="43">
        <f>M55</f>
        <v>26000</v>
      </c>
      <c r="N54" s="69">
        <f>N55</f>
        <v>136766.97999999998</v>
      </c>
      <c r="O54" s="104"/>
      <c r="P54" s="104"/>
      <c r="Q54" s="104">
        <f>Q55</f>
        <v>91114.78</v>
      </c>
      <c r="R54" s="105">
        <f>R55</f>
        <v>0</v>
      </c>
      <c r="S54" s="73">
        <f>S55</f>
        <v>226000</v>
      </c>
    </row>
    <row r="55" spans="1:19" s="2" customFormat="1" ht="53.25" customHeight="1">
      <c r="A55" s="4" t="s">
        <v>146</v>
      </c>
      <c r="B55" s="5"/>
      <c r="C55" s="44"/>
      <c r="D55" s="44"/>
      <c r="E55" s="44"/>
      <c r="F55" s="5" t="s">
        <v>359</v>
      </c>
      <c r="G55" s="5" t="s">
        <v>48</v>
      </c>
      <c r="H55" s="44"/>
      <c r="I55" s="44"/>
      <c r="J55" s="44"/>
      <c r="K55" s="70"/>
      <c r="L55" s="44">
        <v>110766.98</v>
      </c>
      <c r="M55" s="44">
        <v>26000</v>
      </c>
      <c r="N55" s="70">
        <f>K55+L55+M55</f>
        <v>136766.97999999998</v>
      </c>
      <c r="O55" s="106"/>
      <c r="P55" s="106"/>
      <c r="Q55" s="70">
        <v>91114.78</v>
      </c>
      <c r="R55" s="107"/>
      <c r="S55" s="76">
        <f>227881.76-1881.76</f>
        <v>226000</v>
      </c>
    </row>
    <row r="56" spans="1:19" ht="51.75" customHeight="1">
      <c r="A56" s="10" t="s">
        <v>64</v>
      </c>
      <c r="B56" s="9"/>
      <c r="C56" s="42">
        <f>C57+C61</f>
        <v>205395.91999999998</v>
      </c>
      <c r="D56" s="42" t="e">
        <f>D57+D61</f>
        <v>#REF!</v>
      </c>
      <c r="E56" s="42" t="e">
        <f>E57+E61</f>
        <v>#REF!</v>
      </c>
      <c r="F56" s="9" t="s">
        <v>114</v>
      </c>
      <c r="G56" s="9"/>
      <c r="H56" s="42">
        <f>H57+H61</f>
        <v>205395.91999999998</v>
      </c>
      <c r="I56" s="42" t="e">
        <f>I57+I61</f>
        <v>#REF!</v>
      </c>
      <c r="J56" s="42">
        <f>J57+J61</f>
        <v>205264.08</v>
      </c>
      <c r="K56" s="68">
        <f>K57+K61</f>
        <v>0</v>
      </c>
      <c r="L56" s="42">
        <f>L57+L61+L63+L65</f>
        <v>3954.04</v>
      </c>
      <c r="M56" s="42">
        <f>M57+M61+M63+M65</f>
        <v>-0.03</v>
      </c>
      <c r="N56" s="68">
        <f>N57+N61+N63+N65</f>
        <v>209218.09</v>
      </c>
      <c r="O56" s="102">
        <f>O57+O61</f>
        <v>0</v>
      </c>
      <c r="P56" s="102"/>
      <c r="Q56" s="102">
        <f>Q57+Q61+Q63+Q65</f>
        <v>0</v>
      </c>
      <c r="R56" s="103">
        <f>R57+R61+R63+R65</f>
        <v>3069.4</v>
      </c>
      <c r="S56" s="75">
        <f>S57+S61+S63+S65</f>
        <v>216835.9</v>
      </c>
    </row>
    <row r="57" spans="1:19" ht="72" customHeight="1">
      <c r="A57" s="19" t="s">
        <v>65</v>
      </c>
      <c r="B57" s="18"/>
      <c r="C57" s="47">
        <f>C58</f>
        <v>65381.4</v>
      </c>
      <c r="D57" s="47" t="e">
        <f>D58</f>
        <v>#REF!</v>
      </c>
      <c r="E57" s="47" t="e">
        <f>E58</f>
        <v>#REF!</v>
      </c>
      <c r="F57" s="60" t="s">
        <v>372</v>
      </c>
      <c r="G57" s="18"/>
      <c r="H57" s="47">
        <f aca="true" t="shared" si="20" ref="H57:O57">H58</f>
        <v>65381.4</v>
      </c>
      <c r="I57" s="47" t="e">
        <f t="shared" si="20"/>
        <v>#REF!</v>
      </c>
      <c r="J57" s="47">
        <f t="shared" si="20"/>
        <v>65249.56</v>
      </c>
      <c r="K57" s="73">
        <f t="shared" si="20"/>
        <v>0</v>
      </c>
      <c r="L57" s="47">
        <f t="shared" si="20"/>
        <v>0</v>
      </c>
      <c r="M57" s="47">
        <f t="shared" si="20"/>
        <v>-0.03</v>
      </c>
      <c r="N57" s="73">
        <f t="shared" si="20"/>
        <v>65249.53</v>
      </c>
      <c r="O57" s="104">
        <f t="shared" si="20"/>
        <v>0</v>
      </c>
      <c r="P57" s="104"/>
      <c r="Q57" s="104">
        <f>Q58</f>
        <v>0</v>
      </c>
      <c r="R57" s="105">
        <f>R58</f>
        <v>3069.4</v>
      </c>
      <c r="S57" s="73">
        <f>S58</f>
        <v>72867.34</v>
      </c>
    </row>
    <row r="58" spans="1:19" ht="75" customHeight="1">
      <c r="A58" s="4" t="s">
        <v>71</v>
      </c>
      <c r="B58" s="5"/>
      <c r="C58" s="44">
        <f>C60</f>
        <v>65381.4</v>
      </c>
      <c r="D58" s="44" t="e">
        <f>D60+#REF!</f>
        <v>#REF!</v>
      </c>
      <c r="E58" s="44" t="e">
        <f>E60+#REF!</f>
        <v>#REF!</v>
      </c>
      <c r="F58" s="5" t="s">
        <v>115</v>
      </c>
      <c r="G58" s="5"/>
      <c r="H58" s="44">
        <f>H60</f>
        <v>65381.4</v>
      </c>
      <c r="I58" s="44" t="e">
        <f>I60+#REF!</f>
        <v>#REF!</v>
      </c>
      <c r="J58" s="44">
        <f aca="true" t="shared" si="21" ref="J58:O58">J59+J60</f>
        <v>65249.56</v>
      </c>
      <c r="K58" s="70">
        <f t="shared" si="21"/>
        <v>0</v>
      </c>
      <c r="L58" s="44">
        <f t="shared" si="21"/>
        <v>0</v>
      </c>
      <c r="M58" s="44">
        <f t="shared" si="21"/>
        <v>-0.03</v>
      </c>
      <c r="N58" s="70">
        <f t="shared" si="21"/>
        <v>65249.53</v>
      </c>
      <c r="O58" s="106">
        <f t="shared" si="21"/>
        <v>0</v>
      </c>
      <c r="P58" s="106"/>
      <c r="Q58" s="106">
        <f>Q59+Q60</f>
        <v>0</v>
      </c>
      <c r="R58" s="106">
        <f>R59+R60</f>
        <v>3069.4</v>
      </c>
      <c r="S58" s="76">
        <f>S59+S60</f>
        <v>72867.34</v>
      </c>
    </row>
    <row r="59" spans="1:19" ht="42" customHeight="1">
      <c r="A59" s="4" t="s">
        <v>16</v>
      </c>
      <c r="B59" s="5" t="s">
        <v>17</v>
      </c>
      <c r="C59" s="44"/>
      <c r="D59" s="44">
        <v>83.89</v>
      </c>
      <c r="E59" s="44">
        <f>C59+D59</f>
        <v>83.89</v>
      </c>
      <c r="F59" s="5" t="s">
        <v>115</v>
      </c>
      <c r="G59" s="5" t="s">
        <v>17</v>
      </c>
      <c r="H59" s="44"/>
      <c r="I59" s="44">
        <v>83.89</v>
      </c>
      <c r="J59" s="44">
        <f>H59+I59</f>
        <v>83.89</v>
      </c>
      <c r="K59" s="70"/>
      <c r="L59" s="44"/>
      <c r="M59" s="44"/>
      <c r="N59" s="70">
        <f>J59+K59+M59</f>
        <v>83.89</v>
      </c>
      <c r="O59" s="106"/>
      <c r="P59" s="106"/>
      <c r="Q59" s="106"/>
      <c r="R59" s="107"/>
      <c r="S59" s="76">
        <v>3132.3</v>
      </c>
    </row>
    <row r="60" spans="1:19" ht="60.75" customHeight="1">
      <c r="A60" s="4" t="s">
        <v>69</v>
      </c>
      <c r="B60" s="5" t="s">
        <v>13</v>
      </c>
      <c r="C60" s="44">
        <v>65381.4</v>
      </c>
      <c r="D60" s="44">
        <f>-215.73</f>
        <v>-215.73</v>
      </c>
      <c r="E60" s="44">
        <f>C60+D60</f>
        <v>65165.67</v>
      </c>
      <c r="F60" s="5" t="s">
        <v>115</v>
      </c>
      <c r="G60" s="5" t="s">
        <v>13</v>
      </c>
      <c r="H60" s="44">
        <v>65381.4</v>
      </c>
      <c r="I60" s="44">
        <f>-215.73</f>
        <v>-215.73</v>
      </c>
      <c r="J60" s="44">
        <f>H60+I60</f>
        <v>65165.67</v>
      </c>
      <c r="K60" s="70"/>
      <c r="L60" s="44"/>
      <c r="M60" s="44">
        <v>-0.03</v>
      </c>
      <c r="N60" s="70">
        <f>J60+K60+M60</f>
        <v>65165.64</v>
      </c>
      <c r="O60" s="106"/>
      <c r="P60" s="106"/>
      <c r="Q60" s="106"/>
      <c r="R60" s="44">
        <v>3069.4</v>
      </c>
      <c r="S60" s="76">
        <f>68235.04+1500</f>
        <v>69735.04</v>
      </c>
    </row>
    <row r="61" spans="1:19" ht="162.75" customHeight="1">
      <c r="A61" s="57" t="s">
        <v>317</v>
      </c>
      <c r="B61" s="60"/>
      <c r="C61" s="61">
        <f>C62</f>
        <v>140014.52</v>
      </c>
      <c r="D61" s="61">
        <f>D62</f>
        <v>0</v>
      </c>
      <c r="E61" s="61">
        <f>E62</f>
        <v>140014.52</v>
      </c>
      <c r="F61" s="60" t="s">
        <v>116</v>
      </c>
      <c r="G61" s="60"/>
      <c r="H61" s="61">
        <f aca="true" t="shared" si="22" ref="H61:O61">H62</f>
        <v>140014.52</v>
      </c>
      <c r="I61" s="61">
        <f t="shared" si="22"/>
        <v>0</v>
      </c>
      <c r="J61" s="61">
        <f t="shared" si="22"/>
        <v>140014.52</v>
      </c>
      <c r="K61" s="77">
        <f t="shared" si="22"/>
        <v>0</v>
      </c>
      <c r="L61" s="61">
        <f t="shared" si="22"/>
        <v>0</v>
      </c>
      <c r="M61" s="61">
        <f t="shared" si="22"/>
        <v>0</v>
      </c>
      <c r="N61" s="77">
        <f t="shared" si="22"/>
        <v>140014.52</v>
      </c>
      <c r="O61" s="108">
        <f t="shared" si="22"/>
        <v>0</v>
      </c>
      <c r="P61" s="108"/>
      <c r="Q61" s="108">
        <f>Q62</f>
        <v>0</v>
      </c>
      <c r="R61" s="109">
        <f>R62</f>
        <v>0</v>
      </c>
      <c r="S61" s="77">
        <f>S62</f>
        <v>140014.52</v>
      </c>
    </row>
    <row r="62" spans="1:19" ht="50.25" customHeight="1">
      <c r="A62" s="4" t="s">
        <v>69</v>
      </c>
      <c r="B62" s="5" t="s">
        <v>13</v>
      </c>
      <c r="C62" s="44">
        <v>140014.52</v>
      </c>
      <c r="D62" s="44"/>
      <c r="E62" s="44">
        <f>C62+D62</f>
        <v>140014.52</v>
      </c>
      <c r="F62" s="5" t="s">
        <v>116</v>
      </c>
      <c r="G62" s="5" t="s">
        <v>13</v>
      </c>
      <c r="H62" s="44">
        <v>140014.52</v>
      </c>
      <c r="I62" s="44"/>
      <c r="J62" s="44">
        <f>H62+I62</f>
        <v>140014.52</v>
      </c>
      <c r="K62" s="70"/>
      <c r="L62" s="44"/>
      <c r="M62" s="44"/>
      <c r="N62" s="70">
        <f>J62+K62+L62+M62</f>
        <v>140014.52</v>
      </c>
      <c r="O62" s="106"/>
      <c r="P62" s="106"/>
      <c r="Q62" s="106"/>
      <c r="R62" s="107"/>
      <c r="S62" s="76">
        <v>140014.52</v>
      </c>
    </row>
    <row r="63" spans="1:19" ht="66.75" customHeight="1">
      <c r="A63" s="13" t="s">
        <v>360</v>
      </c>
      <c r="B63" s="14"/>
      <c r="C63" s="43"/>
      <c r="D63" s="43"/>
      <c r="E63" s="43"/>
      <c r="F63" s="14" t="s">
        <v>361</v>
      </c>
      <c r="G63" s="14"/>
      <c r="H63" s="43"/>
      <c r="I63" s="43"/>
      <c r="J63" s="43"/>
      <c r="K63" s="69"/>
      <c r="L63" s="43">
        <f>L64</f>
        <v>1587.56</v>
      </c>
      <c r="M63" s="43">
        <f>M64</f>
        <v>0</v>
      </c>
      <c r="N63" s="69">
        <f>N64</f>
        <v>1587.56</v>
      </c>
      <c r="O63" s="104"/>
      <c r="P63" s="104"/>
      <c r="Q63" s="104">
        <f>Q64</f>
        <v>0</v>
      </c>
      <c r="R63" s="105">
        <f>R64</f>
        <v>0</v>
      </c>
      <c r="S63" s="73">
        <f>S64</f>
        <v>1587.56</v>
      </c>
    </row>
    <row r="64" spans="1:19" ht="50.25" customHeight="1">
      <c r="A64" s="4" t="s">
        <v>69</v>
      </c>
      <c r="B64" s="5"/>
      <c r="C64" s="44"/>
      <c r="D64" s="44"/>
      <c r="E64" s="44"/>
      <c r="F64" s="5" t="s">
        <v>361</v>
      </c>
      <c r="G64" s="5" t="s">
        <v>13</v>
      </c>
      <c r="H64" s="44"/>
      <c r="I64" s="44"/>
      <c r="J64" s="44"/>
      <c r="K64" s="70"/>
      <c r="L64" s="44">
        <v>1587.56</v>
      </c>
      <c r="M64" s="44"/>
      <c r="N64" s="70">
        <f>K64+L64+M64</f>
        <v>1587.56</v>
      </c>
      <c r="O64" s="106"/>
      <c r="P64" s="106"/>
      <c r="Q64" s="106"/>
      <c r="R64" s="107"/>
      <c r="S64" s="76">
        <v>1587.56</v>
      </c>
    </row>
    <row r="65" spans="1:19" ht="83.25" customHeight="1">
      <c r="A65" s="13" t="s">
        <v>362</v>
      </c>
      <c r="B65" s="14"/>
      <c r="C65" s="43"/>
      <c r="D65" s="43"/>
      <c r="E65" s="43"/>
      <c r="F65" s="14" t="s">
        <v>363</v>
      </c>
      <c r="G65" s="14"/>
      <c r="H65" s="43"/>
      <c r="I65" s="43"/>
      <c r="J65" s="43"/>
      <c r="K65" s="69"/>
      <c r="L65" s="43">
        <f>L66</f>
        <v>2366.48</v>
      </c>
      <c r="M65" s="43">
        <f>M66</f>
        <v>0</v>
      </c>
      <c r="N65" s="69">
        <f>N66</f>
        <v>2366.48</v>
      </c>
      <c r="O65" s="104"/>
      <c r="P65" s="104"/>
      <c r="Q65" s="104">
        <f>Q66</f>
        <v>0</v>
      </c>
      <c r="R65" s="105">
        <f>R66</f>
        <v>0</v>
      </c>
      <c r="S65" s="73">
        <f>S66</f>
        <v>2366.48</v>
      </c>
    </row>
    <row r="66" spans="1:19" ht="50.25" customHeight="1">
      <c r="A66" s="4" t="s">
        <v>69</v>
      </c>
      <c r="B66" s="5"/>
      <c r="C66" s="44"/>
      <c r="D66" s="44"/>
      <c r="E66" s="44"/>
      <c r="F66" s="5" t="s">
        <v>363</v>
      </c>
      <c r="G66" s="5" t="s">
        <v>13</v>
      </c>
      <c r="H66" s="44"/>
      <c r="I66" s="44"/>
      <c r="J66" s="44"/>
      <c r="K66" s="70"/>
      <c r="L66" s="44">
        <v>2366.48</v>
      </c>
      <c r="M66" s="44"/>
      <c r="N66" s="70">
        <f>K66+L66+M66</f>
        <v>2366.48</v>
      </c>
      <c r="O66" s="106"/>
      <c r="P66" s="106"/>
      <c r="Q66" s="106"/>
      <c r="R66" s="107"/>
      <c r="S66" s="76">
        <v>2366.48</v>
      </c>
    </row>
    <row r="67" spans="1:19" ht="35.25" customHeight="1">
      <c r="A67" s="10" t="s">
        <v>66</v>
      </c>
      <c r="B67" s="9"/>
      <c r="C67" s="42">
        <f>C68+C73</f>
        <v>40441.6</v>
      </c>
      <c r="D67" s="42">
        <f>D68+D73</f>
        <v>1641.7</v>
      </c>
      <c r="E67" s="42">
        <f>E68+E73</f>
        <v>42083.299999999996</v>
      </c>
      <c r="F67" s="9" t="s">
        <v>117</v>
      </c>
      <c r="G67" s="9"/>
      <c r="H67" s="42">
        <f aca="true" t="shared" si="23" ref="H67:O67">H68+H73</f>
        <v>40441.6</v>
      </c>
      <c r="I67" s="42">
        <f t="shared" si="23"/>
        <v>1641.7</v>
      </c>
      <c r="J67" s="42">
        <f t="shared" si="23"/>
        <v>42083.299999999996</v>
      </c>
      <c r="K67" s="68">
        <f t="shared" si="23"/>
        <v>0</v>
      </c>
      <c r="L67" s="42">
        <f t="shared" si="23"/>
        <v>0</v>
      </c>
      <c r="M67" s="42">
        <f t="shared" si="23"/>
        <v>0.03</v>
      </c>
      <c r="N67" s="68">
        <f t="shared" si="23"/>
        <v>42083.329999999994</v>
      </c>
      <c r="O67" s="102">
        <f t="shared" si="23"/>
        <v>5858.71</v>
      </c>
      <c r="P67" s="102"/>
      <c r="Q67" s="102">
        <f>Q68+Q73</f>
        <v>0</v>
      </c>
      <c r="R67" s="103">
        <f>R68+R73</f>
        <v>74.95</v>
      </c>
      <c r="S67" s="75">
        <f>S68+S73</f>
        <v>46656.8</v>
      </c>
    </row>
    <row r="68" spans="1:19" ht="31.5">
      <c r="A68" s="19" t="s">
        <v>67</v>
      </c>
      <c r="B68" s="18"/>
      <c r="C68" s="47">
        <f>C69</f>
        <v>39517.5</v>
      </c>
      <c r="D68" s="47">
        <f>D69</f>
        <v>1641.7</v>
      </c>
      <c r="E68" s="47">
        <f>E69</f>
        <v>41159.2</v>
      </c>
      <c r="F68" s="60" t="s">
        <v>373</v>
      </c>
      <c r="G68" s="18"/>
      <c r="H68" s="47">
        <f aca="true" t="shared" si="24" ref="H68:O68">H69</f>
        <v>39517.5</v>
      </c>
      <c r="I68" s="47">
        <f t="shared" si="24"/>
        <v>1641.7</v>
      </c>
      <c r="J68" s="47">
        <f t="shared" si="24"/>
        <v>41159.2</v>
      </c>
      <c r="K68" s="73">
        <f t="shared" si="24"/>
        <v>0</v>
      </c>
      <c r="L68" s="47">
        <f t="shared" si="24"/>
        <v>0</v>
      </c>
      <c r="M68" s="47">
        <f t="shared" si="24"/>
        <v>0.03</v>
      </c>
      <c r="N68" s="73">
        <f t="shared" si="24"/>
        <v>41159.229999999996</v>
      </c>
      <c r="O68" s="104">
        <f t="shared" si="24"/>
        <v>5858.71</v>
      </c>
      <c r="P68" s="104"/>
      <c r="Q68" s="104">
        <f>Q69</f>
        <v>0</v>
      </c>
      <c r="R68" s="105">
        <f>R69</f>
        <v>0</v>
      </c>
      <c r="S68" s="73">
        <f>S69</f>
        <v>45657.75</v>
      </c>
    </row>
    <row r="69" spans="1:19" ht="63.75" customHeight="1">
      <c r="A69" s="4" t="s">
        <v>68</v>
      </c>
      <c r="B69" s="5"/>
      <c r="C69" s="44">
        <f>C70</f>
        <v>39517.5</v>
      </c>
      <c r="D69" s="44">
        <f>D70+D72</f>
        <v>1641.7</v>
      </c>
      <c r="E69" s="44">
        <f>E70+E72</f>
        <v>41159.2</v>
      </c>
      <c r="F69" s="5" t="s">
        <v>118</v>
      </c>
      <c r="G69" s="5"/>
      <c r="H69" s="44">
        <f>H70</f>
        <v>39517.5</v>
      </c>
      <c r="I69" s="44">
        <f aca="true" t="shared" si="25" ref="I69:N69">I70+I72</f>
        <v>1641.7</v>
      </c>
      <c r="J69" s="44">
        <f t="shared" si="25"/>
        <v>41159.2</v>
      </c>
      <c r="K69" s="70">
        <f t="shared" si="25"/>
        <v>0</v>
      </c>
      <c r="L69" s="44">
        <f t="shared" si="25"/>
        <v>0</v>
      </c>
      <c r="M69" s="44">
        <f t="shared" si="25"/>
        <v>0.03</v>
      </c>
      <c r="N69" s="70">
        <f t="shared" si="25"/>
        <v>41159.229999999996</v>
      </c>
      <c r="O69" s="106">
        <f>O70+O72+O71</f>
        <v>5858.71</v>
      </c>
      <c r="P69" s="106"/>
      <c r="Q69" s="106">
        <f>Q70+Q72+Q71</f>
        <v>0</v>
      </c>
      <c r="R69" s="106">
        <f>R70+R72+R71</f>
        <v>0</v>
      </c>
      <c r="S69" s="76">
        <f>S70+S72+S71</f>
        <v>45657.75</v>
      </c>
    </row>
    <row r="70" spans="1:19" ht="47.25">
      <c r="A70" s="4" t="s">
        <v>69</v>
      </c>
      <c r="B70" s="20" t="s">
        <v>13</v>
      </c>
      <c r="C70" s="48">
        <v>39517.5</v>
      </c>
      <c r="D70" s="48"/>
      <c r="E70" s="44">
        <f>C70+D70</f>
        <v>39517.5</v>
      </c>
      <c r="F70" s="20" t="s">
        <v>118</v>
      </c>
      <c r="G70" s="20" t="s">
        <v>13</v>
      </c>
      <c r="H70" s="48">
        <v>39517.5</v>
      </c>
      <c r="I70" s="48"/>
      <c r="J70" s="44">
        <f>H70+I70</f>
        <v>39517.5</v>
      </c>
      <c r="K70" s="70"/>
      <c r="L70" s="44"/>
      <c r="M70" s="44">
        <v>0.03</v>
      </c>
      <c r="N70" s="70">
        <f>J70+M70</f>
        <v>39517.53</v>
      </c>
      <c r="O70" s="106"/>
      <c r="P70" s="106"/>
      <c r="Q70" s="106"/>
      <c r="R70" s="107"/>
      <c r="S70" s="76">
        <f>39517.53-3000</f>
        <v>36517.53</v>
      </c>
    </row>
    <row r="71" spans="1:19" ht="47.25">
      <c r="A71" s="4" t="s">
        <v>146</v>
      </c>
      <c r="B71" s="20"/>
      <c r="C71" s="48"/>
      <c r="D71" s="48"/>
      <c r="E71" s="44"/>
      <c r="F71" s="20" t="s">
        <v>118</v>
      </c>
      <c r="G71" s="20" t="s">
        <v>48</v>
      </c>
      <c r="H71" s="48"/>
      <c r="I71" s="48"/>
      <c r="J71" s="44"/>
      <c r="K71" s="70"/>
      <c r="L71" s="44"/>
      <c r="M71" s="44"/>
      <c r="N71" s="70"/>
      <c r="O71" s="70">
        <v>5858.71</v>
      </c>
      <c r="P71" s="70"/>
      <c r="Q71" s="70"/>
      <c r="R71" s="44"/>
      <c r="S71" s="76">
        <v>5858.71</v>
      </c>
    </row>
    <row r="72" spans="1:19" ht="31.5">
      <c r="A72" s="4" t="s">
        <v>16</v>
      </c>
      <c r="B72" s="20" t="s">
        <v>17</v>
      </c>
      <c r="C72" s="48"/>
      <c r="D72" s="48">
        <v>1641.7</v>
      </c>
      <c r="E72" s="44">
        <f>C72+D72</f>
        <v>1641.7</v>
      </c>
      <c r="F72" s="20" t="s">
        <v>118</v>
      </c>
      <c r="G72" s="20" t="s">
        <v>17</v>
      </c>
      <c r="H72" s="48"/>
      <c r="I72" s="48">
        <v>1641.7</v>
      </c>
      <c r="J72" s="44">
        <f>H72+I72</f>
        <v>1641.7</v>
      </c>
      <c r="K72" s="70"/>
      <c r="L72" s="44"/>
      <c r="M72" s="44"/>
      <c r="N72" s="70">
        <f>J72+K72+L72+M72</f>
        <v>1641.7</v>
      </c>
      <c r="O72" s="70"/>
      <c r="P72" s="70"/>
      <c r="Q72" s="70"/>
      <c r="R72" s="44"/>
      <c r="S72" s="76">
        <v>3281.51</v>
      </c>
    </row>
    <row r="73" spans="1:19" ht="47.25">
      <c r="A73" s="19" t="s">
        <v>271</v>
      </c>
      <c r="B73" s="21"/>
      <c r="C73" s="49">
        <f aca="true" t="shared" si="26" ref="C73:E74">C74</f>
        <v>924.1</v>
      </c>
      <c r="D73" s="49">
        <f t="shared" si="26"/>
        <v>0</v>
      </c>
      <c r="E73" s="49">
        <f t="shared" si="26"/>
        <v>924.1</v>
      </c>
      <c r="F73" s="21" t="s">
        <v>272</v>
      </c>
      <c r="G73" s="21"/>
      <c r="H73" s="49">
        <f aca="true" t="shared" si="27" ref="H73:O74">H74</f>
        <v>924.1</v>
      </c>
      <c r="I73" s="49">
        <f t="shared" si="27"/>
        <v>0</v>
      </c>
      <c r="J73" s="49">
        <f t="shared" si="27"/>
        <v>924.1</v>
      </c>
      <c r="K73" s="75">
        <f t="shared" si="27"/>
        <v>0</v>
      </c>
      <c r="L73" s="49">
        <f t="shared" si="27"/>
        <v>0</v>
      </c>
      <c r="M73" s="49">
        <f t="shared" si="27"/>
        <v>0</v>
      </c>
      <c r="N73" s="75">
        <f t="shared" si="27"/>
        <v>924.1</v>
      </c>
      <c r="O73" s="102">
        <f t="shared" si="27"/>
        <v>0</v>
      </c>
      <c r="P73" s="102"/>
      <c r="Q73" s="102">
        <f aca="true" t="shared" si="28" ref="Q73:S74">Q74</f>
        <v>0</v>
      </c>
      <c r="R73" s="103">
        <f t="shared" si="28"/>
        <v>74.95</v>
      </c>
      <c r="S73" s="75">
        <f t="shared" si="28"/>
        <v>999.05</v>
      </c>
    </row>
    <row r="74" spans="1:19" ht="69.75" customHeight="1">
      <c r="A74" s="4" t="s">
        <v>68</v>
      </c>
      <c r="B74" s="20"/>
      <c r="C74" s="48">
        <f t="shared" si="26"/>
        <v>924.1</v>
      </c>
      <c r="D74" s="48">
        <f t="shared" si="26"/>
        <v>0</v>
      </c>
      <c r="E74" s="48">
        <f t="shared" si="26"/>
        <v>924.1</v>
      </c>
      <c r="F74" s="20" t="s">
        <v>272</v>
      </c>
      <c r="G74" s="20"/>
      <c r="H74" s="48">
        <f t="shared" si="27"/>
        <v>924.1</v>
      </c>
      <c r="I74" s="48">
        <f t="shared" si="27"/>
        <v>0</v>
      </c>
      <c r="J74" s="48">
        <f t="shared" si="27"/>
        <v>924.1</v>
      </c>
      <c r="K74" s="76">
        <f t="shared" si="27"/>
        <v>0</v>
      </c>
      <c r="L74" s="48">
        <f t="shared" si="27"/>
        <v>0</v>
      </c>
      <c r="M74" s="48">
        <f t="shared" si="27"/>
        <v>0</v>
      </c>
      <c r="N74" s="76">
        <f t="shared" si="27"/>
        <v>924.1</v>
      </c>
      <c r="O74" s="106">
        <f t="shared" si="27"/>
        <v>0</v>
      </c>
      <c r="P74" s="106"/>
      <c r="Q74" s="106">
        <f t="shared" si="28"/>
        <v>0</v>
      </c>
      <c r="R74" s="107">
        <f t="shared" si="28"/>
        <v>74.95</v>
      </c>
      <c r="S74" s="76">
        <f t="shared" si="28"/>
        <v>999.05</v>
      </c>
    </row>
    <row r="75" spans="1:19" ht="47.25">
      <c r="A75" s="4" t="s">
        <v>69</v>
      </c>
      <c r="B75" s="20" t="s">
        <v>13</v>
      </c>
      <c r="C75" s="48">
        <v>924.1</v>
      </c>
      <c r="D75" s="48"/>
      <c r="E75" s="44">
        <f>C75+D75</f>
        <v>924.1</v>
      </c>
      <c r="F75" s="20" t="s">
        <v>272</v>
      </c>
      <c r="G75" s="20" t="s">
        <v>13</v>
      </c>
      <c r="H75" s="48">
        <v>924.1</v>
      </c>
      <c r="I75" s="48"/>
      <c r="J75" s="44">
        <f>H75+I75</f>
        <v>924.1</v>
      </c>
      <c r="K75" s="70"/>
      <c r="L75" s="44"/>
      <c r="M75" s="44"/>
      <c r="N75" s="70">
        <f>J75+K75+L75+M75</f>
        <v>924.1</v>
      </c>
      <c r="O75" s="106"/>
      <c r="P75" s="106"/>
      <c r="Q75" s="106"/>
      <c r="R75" s="107">
        <v>74.95</v>
      </c>
      <c r="S75" s="76">
        <v>999.05</v>
      </c>
    </row>
    <row r="76" spans="1:19" ht="34.5" customHeight="1">
      <c r="A76" s="10" t="s">
        <v>61</v>
      </c>
      <c r="B76" s="9"/>
      <c r="C76" s="42" t="e">
        <f>C77+C82+C85+C88+C92+#REF!</f>
        <v>#REF!</v>
      </c>
      <c r="D76" s="42" t="e">
        <f>D77+D82+D85+D88+D92+#REF!</f>
        <v>#REF!</v>
      </c>
      <c r="E76" s="42" t="e">
        <f>E77+E82+E85+E88+E92+#REF!</f>
        <v>#REF!</v>
      </c>
      <c r="F76" s="9" t="s">
        <v>119</v>
      </c>
      <c r="G76" s="9"/>
      <c r="H76" s="42" t="e">
        <f>H77+H82+H85+H88+H92+#REF!</f>
        <v>#REF!</v>
      </c>
      <c r="I76" s="42" t="e">
        <f>I77+I82+I85+I88+I92+#REF!</f>
        <v>#REF!</v>
      </c>
      <c r="J76" s="42" t="e">
        <f>J77+J82+J85+J88+J92+#REF!</f>
        <v>#REF!</v>
      </c>
      <c r="K76" s="68" t="e">
        <f>K77+K82+K85+K88+K92+#REF!</f>
        <v>#REF!</v>
      </c>
      <c r="L76" s="42" t="e">
        <f>L77+L82+L85+L88+L92+#REF!</f>
        <v>#REF!</v>
      </c>
      <c r="M76" s="42" t="e">
        <f>M77+M82+M85+M88+M92+#REF!</f>
        <v>#REF!</v>
      </c>
      <c r="N76" s="68" t="e">
        <f>N77+N82+N85+N88+N92+#REF!</f>
        <v>#REF!</v>
      </c>
      <c r="O76" s="102" t="e">
        <f>O77+O82+O85+O88+O92+#REF!</f>
        <v>#REF!</v>
      </c>
      <c r="P76" s="102"/>
      <c r="Q76" s="102" t="e">
        <f>Q77+Q82+Q85+Q88+Q92+#REF!</f>
        <v>#REF!</v>
      </c>
      <c r="R76" s="103" t="e">
        <f>R77+R82+R85+R88+R92+#REF!</f>
        <v>#REF!</v>
      </c>
      <c r="S76" s="75">
        <f>S77+S82+S85+S88+S92</f>
        <v>30021.370000000003</v>
      </c>
    </row>
    <row r="77" spans="1:19" ht="48" customHeight="1">
      <c r="A77" s="19" t="s">
        <v>89</v>
      </c>
      <c r="B77" s="21"/>
      <c r="C77" s="49">
        <f>C80+C78</f>
        <v>10287.48</v>
      </c>
      <c r="D77" s="49">
        <f>D80+D78</f>
        <v>204.21</v>
      </c>
      <c r="E77" s="49">
        <f>E80+E78</f>
        <v>10491.69</v>
      </c>
      <c r="F77" s="21" t="s">
        <v>120</v>
      </c>
      <c r="G77" s="21"/>
      <c r="H77" s="49">
        <f aca="true" t="shared" si="29" ref="H77:O77">H80+H78</f>
        <v>10287.48</v>
      </c>
      <c r="I77" s="49">
        <f t="shared" si="29"/>
        <v>204.21</v>
      </c>
      <c r="J77" s="49">
        <f t="shared" si="29"/>
        <v>10491.69</v>
      </c>
      <c r="K77" s="75">
        <f t="shared" si="29"/>
        <v>0</v>
      </c>
      <c r="L77" s="49">
        <f t="shared" si="29"/>
        <v>0</v>
      </c>
      <c r="M77" s="49">
        <f t="shared" si="29"/>
        <v>0</v>
      </c>
      <c r="N77" s="75">
        <f t="shared" si="29"/>
        <v>10491.69</v>
      </c>
      <c r="O77" s="102">
        <f t="shared" si="29"/>
        <v>0</v>
      </c>
      <c r="P77" s="102"/>
      <c r="Q77" s="102">
        <f>Q80+Q78</f>
        <v>0</v>
      </c>
      <c r="R77" s="103">
        <f>R80+R78</f>
        <v>0</v>
      </c>
      <c r="S77" s="75">
        <f>S80+S78</f>
        <v>10491.69</v>
      </c>
    </row>
    <row r="78" spans="1:19" ht="67.5" customHeight="1">
      <c r="A78" s="28" t="s">
        <v>364</v>
      </c>
      <c r="B78" s="16"/>
      <c r="C78" s="46">
        <f>C79</f>
        <v>2189.6</v>
      </c>
      <c r="D78" s="46">
        <f>D79</f>
        <v>0</v>
      </c>
      <c r="E78" s="46">
        <f>E79</f>
        <v>2189.6</v>
      </c>
      <c r="F78" s="16" t="s">
        <v>270</v>
      </c>
      <c r="G78" s="16"/>
      <c r="H78" s="46">
        <f aca="true" t="shared" si="30" ref="H78:O78">H79</f>
        <v>2189.6</v>
      </c>
      <c r="I78" s="46">
        <f t="shared" si="30"/>
        <v>0</v>
      </c>
      <c r="J78" s="46">
        <f t="shared" si="30"/>
        <v>2189.6</v>
      </c>
      <c r="K78" s="71">
        <f t="shared" si="30"/>
        <v>0</v>
      </c>
      <c r="L78" s="46">
        <f t="shared" si="30"/>
        <v>0</v>
      </c>
      <c r="M78" s="46">
        <f t="shared" si="30"/>
        <v>0</v>
      </c>
      <c r="N78" s="71">
        <f t="shared" si="30"/>
        <v>2189.6</v>
      </c>
      <c r="O78" s="100">
        <f t="shared" si="30"/>
        <v>0</v>
      </c>
      <c r="P78" s="100"/>
      <c r="Q78" s="100">
        <f>Q79</f>
        <v>0</v>
      </c>
      <c r="R78" s="101">
        <f>R79</f>
        <v>0</v>
      </c>
      <c r="S78" s="71">
        <f>S79</f>
        <v>2189.6</v>
      </c>
    </row>
    <row r="79" spans="1:19" ht="47.25">
      <c r="A79" s="22" t="s">
        <v>69</v>
      </c>
      <c r="B79" s="20" t="s">
        <v>13</v>
      </c>
      <c r="C79" s="48">
        <v>2189.6</v>
      </c>
      <c r="D79" s="48"/>
      <c r="E79" s="44">
        <f>C79+D79</f>
        <v>2189.6</v>
      </c>
      <c r="F79" s="20" t="s">
        <v>270</v>
      </c>
      <c r="G79" s="20" t="s">
        <v>13</v>
      </c>
      <c r="H79" s="48">
        <v>2189.6</v>
      </c>
      <c r="I79" s="48"/>
      <c r="J79" s="44">
        <f>H79+I79</f>
        <v>2189.6</v>
      </c>
      <c r="K79" s="70"/>
      <c r="L79" s="44"/>
      <c r="M79" s="44"/>
      <c r="N79" s="70">
        <f>J79+K79+L79+M79</f>
        <v>2189.6</v>
      </c>
      <c r="O79" s="106"/>
      <c r="P79" s="106"/>
      <c r="Q79" s="106"/>
      <c r="R79" s="107"/>
      <c r="S79" s="76">
        <v>2189.6</v>
      </c>
    </row>
    <row r="80" spans="1:19" ht="71.25" customHeight="1">
      <c r="A80" s="28" t="s">
        <v>318</v>
      </c>
      <c r="B80" s="29"/>
      <c r="C80" s="50">
        <f>C81</f>
        <v>8097.88</v>
      </c>
      <c r="D80" s="50">
        <f>D81</f>
        <v>204.21</v>
      </c>
      <c r="E80" s="50">
        <f>E81</f>
        <v>8302.09</v>
      </c>
      <c r="F80" s="29" t="s">
        <v>121</v>
      </c>
      <c r="G80" s="29"/>
      <c r="H80" s="50">
        <f aca="true" t="shared" si="31" ref="H80:O80">H81</f>
        <v>8097.88</v>
      </c>
      <c r="I80" s="50">
        <f t="shared" si="31"/>
        <v>204.21</v>
      </c>
      <c r="J80" s="50">
        <f t="shared" si="31"/>
        <v>8302.09</v>
      </c>
      <c r="K80" s="72">
        <f t="shared" si="31"/>
        <v>0</v>
      </c>
      <c r="L80" s="50">
        <f t="shared" si="31"/>
        <v>0</v>
      </c>
      <c r="M80" s="50">
        <f t="shared" si="31"/>
        <v>0</v>
      </c>
      <c r="N80" s="72">
        <f t="shared" si="31"/>
        <v>8302.09</v>
      </c>
      <c r="O80" s="108">
        <f t="shared" si="31"/>
        <v>0</v>
      </c>
      <c r="P80" s="108"/>
      <c r="Q80" s="108">
        <f>Q81</f>
        <v>0</v>
      </c>
      <c r="R80" s="109">
        <f>R81</f>
        <v>0</v>
      </c>
      <c r="S80" s="77">
        <f>S81</f>
        <v>8302.09</v>
      </c>
    </row>
    <row r="81" spans="1:19" ht="47.25">
      <c r="A81" s="22" t="s">
        <v>69</v>
      </c>
      <c r="B81" s="20" t="s">
        <v>13</v>
      </c>
      <c r="C81" s="48">
        <v>8097.88</v>
      </c>
      <c r="D81" s="48">
        <v>204.21</v>
      </c>
      <c r="E81" s="44">
        <f>C81+D81</f>
        <v>8302.09</v>
      </c>
      <c r="F81" s="20" t="s">
        <v>121</v>
      </c>
      <c r="G81" s="20" t="s">
        <v>13</v>
      </c>
      <c r="H81" s="48">
        <v>8097.88</v>
      </c>
      <c r="I81" s="48">
        <v>204.21</v>
      </c>
      <c r="J81" s="44">
        <f>H81+I81</f>
        <v>8302.09</v>
      </c>
      <c r="K81" s="70"/>
      <c r="L81" s="44"/>
      <c r="M81" s="44"/>
      <c r="N81" s="70">
        <f>J81+K81+L81+M81</f>
        <v>8302.09</v>
      </c>
      <c r="O81" s="106"/>
      <c r="P81" s="106"/>
      <c r="Q81" s="106"/>
      <c r="R81" s="107"/>
      <c r="S81" s="76">
        <v>8302.09</v>
      </c>
    </row>
    <row r="82" spans="1:19" ht="68.25" customHeight="1">
      <c r="A82" s="19" t="s">
        <v>72</v>
      </c>
      <c r="B82" s="18"/>
      <c r="C82" s="47">
        <f aca="true" t="shared" si="32" ref="C82:E83">C83</f>
        <v>3583</v>
      </c>
      <c r="D82" s="47">
        <f t="shared" si="32"/>
        <v>0</v>
      </c>
      <c r="E82" s="47">
        <f t="shared" si="32"/>
        <v>3583</v>
      </c>
      <c r="F82" s="18" t="s">
        <v>260</v>
      </c>
      <c r="G82" s="18"/>
      <c r="H82" s="47">
        <f aca="true" t="shared" si="33" ref="H82:O83">H83</f>
        <v>3583</v>
      </c>
      <c r="I82" s="47">
        <f t="shared" si="33"/>
        <v>0</v>
      </c>
      <c r="J82" s="47">
        <f t="shared" si="33"/>
        <v>3583</v>
      </c>
      <c r="K82" s="73">
        <f t="shared" si="33"/>
        <v>0</v>
      </c>
      <c r="L82" s="47">
        <f t="shared" si="33"/>
        <v>0</v>
      </c>
      <c r="M82" s="47">
        <f t="shared" si="33"/>
        <v>0</v>
      </c>
      <c r="N82" s="73">
        <f t="shared" si="33"/>
        <v>3583</v>
      </c>
      <c r="O82" s="104">
        <f t="shared" si="33"/>
        <v>0</v>
      </c>
      <c r="P82" s="104"/>
      <c r="Q82" s="104">
        <f aca="true" t="shared" si="34" ref="Q82:S83">Q83</f>
        <v>0</v>
      </c>
      <c r="R82" s="105">
        <f t="shared" si="34"/>
        <v>0</v>
      </c>
      <c r="S82" s="73">
        <f t="shared" si="34"/>
        <v>3583</v>
      </c>
    </row>
    <row r="83" spans="1:19" ht="53.25" customHeight="1">
      <c r="A83" s="28" t="s">
        <v>319</v>
      </c>
      <c r="B83" s="29"/>
      <c r="C83" s="50">
        <f t="shared" si="32"/>
        <v>3583</v>
      </c>
      <c r="D83" s="50">
        <f t="shared" si="32"/>
        <v>0</v>
      </c>
      <c r="E83" s="50">
        <f t="shared" si="32"/>
        <v>3583</v>
      </c>
      <c r="F83" s="29" t="s">
        <v>122</v>
      </c>
      <c r="G83" s="29"/>
      <c r="H83" s="50">
        <f t="shared" si="33"/>
        <v>3583</v>
      </c>
      <c r="I83" s="50">
        <f t="shared" si="33"/>
        <v>0</v>
      </c>
      <c r="J83" s="50">
        <f t="shared" si="33"/>
        <v>3583</v>
      </c>
      <c r="K83" s="72">
        <f t="shared" si="33"/>
        <v>0</v>
      </c>
      <c r="L83" s="50">
        <f t="shared" si="33"/>
        <v>0</v>
      </c>
      <c r="M83" s="50">
        <f t="shared" si="33"/>
        <v>0</v>
      </c>
      <c r="N83" s="72">
        <f t="shared" si="33"/>
        <v>3583</v>
      </c>
      <c r="O83" s="108">
        <f t="shared" si="33"/>
        <v>0</v>
      </c>
      <c r="P83" s="108"/>
      <c r="Q83" s="108">
        <f t="shared" si="34"/>
        <v>0</v>
      </c>
      <c r="R83" s="109">
        <f t="shared" si="34"/>
        <v>0</v>
      </c>
      <c r="S83" s="77">
        <f t="shared" si="34"/>
        <v>3583</v>
      </c>
    </row>
    <row r="84" spans="1:19" ht="50.25" customHeight="1">
      <c r="A84" s="4" t="s">
        <v>69</v>
      </c>
      <c r="B84" s="5" t="s">
        <v>13</v>
      </c>
      <c r="C84" s="44">
        <v>3583</v>
      </c>
      <c r="D84" s="44"/>
      <c r="E84" s="44">
        <f>C84+D84</f>
        <v>3583</v>
      </c>
      <c r="F84" s="5" t="s">
        <v>122</v>
      </c>
      <c r="G84" s="5" t="s">
        <v>13</v>
      </c>
      <c r="H84" s="44">
        <v>3583</v>
      </c>
      <c r="I84" s="44"/>
      <c r="J84" s="44">
        <f>H84+I84</f>
        <v>3583</v>
      </c>
      <c r="K84" s="70"/>
      <c r="L84" s="44"/>
      <c r="M84" s="44"/>
      <c r="N84" s="70">
        <f>J84+K84+L84+M84</f>
        <v>3583</v>
      </c>
      <c r="O84" s="106"/>
      <c r="P84" s="106"/>
      <c r="Q84" s="106"/>
      <c r="R84" s="107"/>
      <c r="S84" s="76">
        <v>3583</v>
      </c>
    </row>
    <row r="85" spans="1:19" ht="32.25" customHeight="1">
      <c r="A85" s="13" t="s">
        <v>73</v>
      </c>
      <c r="B85" s="14"/>
      <c r="C85" s="43" t="e">
        <f>#REF!+C86</f>
        <v>#REF!</v>
      </c>
      <c r="D85" s="43" t="e">
        <f>#REF!+D86</f>
        <v>#REF!</v>
      </c>
      <c r="E85" s="43" t="e">
        <f>#REF!+E86</f>
        <v>#REF!</v>
      </c>
      <c r="F85" s="14" t="s">
        <v>261</v>
      </c>
      <c r="G85" s="14"/>
      <c r="H85" s="43" t="e">
        <f>#REF!+H86</f>
        <v>#REF!</v>
      </c>
      <c r="I85" s="43" t="e">
        <f>#REF!+I86</f>
        <v>#REF!</v>
      </c>
      <c r="J85" s="43" t="e">
        <f>#REF!+J86</f>
        <v>#REF!</v>
      </c>
      <c r="K85" s="69" t="e">
        <f>#REF!+K86</f>
        <v>#REF!</v>
      </c>
      <c r="L85" s="43" t="e">
        <f>#REF!+L86</f>
        <v>#REF!</v>
      </c>
      <c r="M85" s="43" t="e">
        <f>#REF!+M86</f>
        <v>#REF!</v>
      </c>
      <c r="N85" s="69" t="e">
        <f>#REF!+N86</f>
        <v>#REF!</v>
      </c>
      <c r="O85" s="104" t="e">
        <f>#REF!+O86</f>
        <v>#REF!</v>
      </c>
      <c r="P85" s="104"/>
      <c r="Q85" s="104" t="e">
        <f>#REF!+Q86</f>
        <v>#REF!</v>
      </c>
      <c r="R85" s="105" t="e">
        <f>#REF!+R86</f>
        <v>#REF!</v>
      </c>
      <c r="S85" s="73">
        <f>S86</f>
        <v>5369.33</v>
      </c>
    </row>
    <row r="86" spans="1:19" ht="69.75" customHeight="1">
      <c r="A86" s="28" t="s">
        <v>320</v>
      </c>
      <c r="B86" s="29"/>
      <c r="C86" s="50">
        <f>C87</f>
        <v>1933.53</v>
      </c>
      <c r="D86" s="50">
        <f>D87</f>
        <v>3118.27</v>
      </c>
      <c r="E86" s="50">
        <f>E87</f>
        <v>5051.8</v>
      </c>
      <c r="F86" s="29" t="s">
        <v>321</v>
      </c>
      <c r="G86" s="29"/>
      <c r="H86" s="50">
        <f aca="true" t="shared" si="35" ref="H86:O86">H87</f>
        <v>1933.53</v>
      </c>
      <c r="I86" s="50">
        <f t="shared" si="35"/>
        <v>3118.27</v>
      </c>
      <c r="J86" s="50">
        <f t="shared" si="35"/>
        <v>5051.8</v>
      </c>
      <c r="K86" s="72">
        <f t="shared" si="35"/>
        <v>0</v>
      </c>
      <c r="L86" s="50">
        <f t="shared" si="35"/>
        <v>0</v>
      </c>
      <c r="M86" s="50">
        <f t="shared" si="35"/>
        <v>317.53</v>
      </c>
      <c r="N86" s="72">
        <f t="shared" si="35"/>
        <v>5369.33</v>
      </c>
      <c r="O86" s="108">
        <f t="shared" si="35"/>
        <v>0</v>
      </c>
      <c r="P86" s="108"/>
      <c r="Q86" s="108">
        <f>Q87</f>
        <v>0</v>
      </c>
      <c r="R86" s="109">
        <f>R87</f>
        <v>0</v>
      </c>
      <c r="S86" s="77">
        <f>S87</f>
        <v>5369.33</v>
      </c>
    </row>
    <row r="87" spans="1:19" ht="39" customHeight="1">
      <c r="A87" s="22" t="s">
        <v>16</v>
      </c>
      <c r="B87" s="20" t="s">
        <v>17</v>
      </c>
      <c r="C87" s="48">
        <v>1933.53</v>
      </c>
      <c r="D87" s="48">
        <v>3118.27</v>
      </c>
      <c r="E87" s="44">
        <f>C87+D87</f>
        <v>5051.8</v>
      </c>
      <c r="F87" s="20" t="s">
        <v>321</v>
      </c>
      <c r="G87" s="20" t="s">
        <v>17</v>
      </c>
      <c r="H87" s="48">
        <v>1933.53</v>
      </c>
      <c r="I87" s="48">
        <v>3118.27</v>
      </c>
      <c r="J87" s="44">
        <f>H87+I87</f>
        <v>5051.8</v>
      </c>
      <c r="K87" s="70"/>
      <c r="L87" s="44"/>
      <c r="M87" s="44">
        <v>317.53</v>
      </c>
      <c r="N87" s="70">
        <f>J87+L87+M87</f>
        <v>5369.33</v>
      </c>
      <c r="O87" s="106"/>
      <c r="P87" s="106"/>
      <c r="Q87" s="106"/>
      <c r="R87" s="107"/>
      <c r="S87" s="76">
        <v>5369.33</v>
      </c>
    </row>
    <row r="88" spans="1:19" ht="69.75" customHeight="1">
      <c r="A88" s="13" t="s">
        <v>74</v>
      </c>
      <c r="B88" s="14"/>
      <c r="C88" s="43">
        <f aca="true" t="shared" si="36" ref="C88:E89">C89</f>
        <v>485</v>
      </c>
      <c r="D88" s="43">
        <f t="shared" si="36"/>
        <v>0</v>
      </c>
      <c r="E88" s="43">
        <f t="shared" si="36"/>
        <v>485</v>
      </c>
      <c r="F88" s="14" t="s">
        <v>262</v>
      </c>
      <c r="G88" s="14"/>
      <c r="H88" s="43">
        <f aca="true" t="shared" si="37" ref="H88:O89">H89</f>
        <v>485</v>
      </c>
      <c r="I88" s="43">
        <f t="shared" si="37"/>
        <v>0</v>
      </c>
      <c r="J88" s="43">
        <f t="shared" si="37"/>
        <v>485</v>
      </c>
      <c r="K88" s="69">
        <f t="shared" si="37"/>
        <v>0</v>
      </c>
      <c r="L88" s="43">
        <f t="shared" si="37"/>
        <v>0</v>
      </c>
      <c r="M88" s="43">
        <f t="shared" si="37"/>
        <v>0</v>
      </c>
      <c r="N88" s="69">
        <f t="shared" si="37"/>
        <v>485</v>
      </c>
      <c r="O88" s="104">
        <f t="shared" si="37"/>
        <v>0</v>
      </c>
      <c r="P88" s="104"/>
      <c r="Q88" s="104">
        <f>Q89</f>
        <v>0</v>
      </c>
      <c r="R88" s="105">
        <f>R89</f>
        <v>0</v>
      </c>
      <c r="S88" s="73">
        <f>S89</f>
        <v>485</v>
      </c>
    </row>
    <row r="89" spans="1:19" ht="21" customHeight="1">
      <c r="A89" s="4" t="s">
        <v>75</v>
      </c>
      <c r="B89" s="5"/>
      <c r="C89" s="44">
        <f t="shared" si="36"/>
        <v>485</v>
      </c>
      <c r="D89" s="44">
        <f t="shared" si="36"/>
        <v>0</v>
      </c>
      <c r="E89" s="44">
        <f t="shared" si="36"/>
        <v>485</v>
      </c>
      <c r="F89" s="5" t="s">
        <v>223</v>
      </c>
      <c r="G89" s="5"/>
      <c r="H89" s="44">
        <f t="shared" si="37"/>
        <v>485</v>
      </c>
      <c r="I89" s="44">
        <f t="shared" si="37"/>
        <v>0</v>
      </c>
      <c r="J89" s="44">
        <f t="shared" si="37"/>
        <v>485</v>
      </c>
      <c r="K89" s="70">
        <f t="shared" si="37"/>
        <v>0</v>
      </c>
      <c r="L89" s="44">
        <f t="shared" si="37"/>
        <v>0</v>
      </c>
      <c r="M89" s="44">
        <f t="shared" si="37"/>
        <v>0</v>
      </c>
      <c r="N89" s="70">
        <f t="shared" si="37"/>
        <v>485</v>
      </c>
      <c r="O89" s="106">
        <f t="shared" si="37"/>
        <v>0</v>
      </c>
      <c r="P89" s="106"/>
      <c r="Q89" s="106">
        <f>Q90</f>
        <v>0</v>
      </c>
      <c r="R89" s="107">
        <f>R90+R91</f>
        <v>0</v>
      </c>
      <c r="S89" s="76">
        <f>S90+S91</f>
        <v>485</v>
      </c>
    </row>
    <row r="90" spans="1:19" ht="31.5" customHeight="1">
      <c r="A90" s="4" t="s">
        <v>16</v>
      </c>
      <c r="B90" s="5" t="s">
        <v>17</v>
      </c>
      <c r="C90" s="44">
        <v>485</v>
      </c>
      <c r="D90" s="44"/>
      <c r="E90" s="44">
        <f>C90+D90</f>
        <v>485</v>
      </c>
      <c r="F90" s="5" t="s">
        <v>223</v>
      </c>
      <c r="G90" s="5" t="s">
        <v>17</v>
      </c>
      <c r="H90" s="44">
        <v>485</v>
      </c>
      <c r="I90" s="44"/>
      <c r="J90" s="44">
        <f>H90+I90</f>
        <v>485</v>
      </c>
      <c r="K90" s="70"/>
      <c r="L90" s="44"/>
      <c r="M90" s="44"/>
      <c r="N90" s="70">
        <f>J90+L90+M90</f>
        <v>485</v>
      </c>
      <c r="O90" s="106"/>
      <c r="P90" s="106"/>
      <c r="Q90" s="106"/>
      <c r="R90" s="107">
        <v>-45</v>
      </c>
      <c r="S90" s="76">
        <f>440-80</f>
        <v>360</v>
      </c>
    </row>
    <row r="91" spans="1:19" ht="31.5" customHeight="1">
      <c r="A91" s="4" t="s">
        <v>24</v>
      </c>
      <c r="B91" s="5"/>
      <c r="C91" s="44"/>
      <c r="D91" s="44"/>
      <c r="E91" s="44"/>
      <c r="F91" s="5" t="s">
        <v>223</v>
      </c>
      <c r="G91" s="5" t="s">
        <v>25</v>
      </c>
      <c r="H91" s="44"/>
      <c r="I91" s="44"/>
      <c r="J91" s="44"/>
      <c r="K91" s="70"/>
      <c r="L91" s="44"/>
      <c r="M91" s="44"/>
      <c r="N91" s="70"/>
      <c r="O91" s="106"/>
      <c r="P91" s="106"/>
      <c r="Q91" s="106"/>
      <c r="R91" s="107">
        <v>45</v>
      </c>
      <c r="S91" s="76">
        <f>45+80</f>
        <v>125</v>
      </c>
    </row>
    <row r="92" spans="1:19" ht="50.25" customHeight="1">
      <c r="A92" s="19" t="s">
        <v>18</v>
      </c>
      <c r="B92" s="18"/>
      <c r="C92" s="47">
        <f>C93</f>
        <v>9764.23</v>
      </c>
      <c r="D92" s="47">
        <f>D93</f>
        <v>0</v>
      </c>
      <c r="E92" s="47">
        <f>E93</f>
        <v>9764.23</v>
      </c>
      <c r="F92" s="18" t="s">
        <v>263</v>
      </c>
      <c r="G92" s="18"/>
      <c r="H92" s="47">
        <f aca="true" t="shared" si="38" ref="H92:O92">H93</f>
        <v>9764.23</v>
      </c>
      <c r="I92" s="47">
        <f t="shared" si="38"/>
        <v>0</v>
      </c>
      <c r="J92" s="47">
        <f t="shared" si="38"/>
        <v>9764.23</v>
      </c>
      <c r="K92" s="73">
        <f t="shared" si="38"/>
        <v>0</v>
      </c>
      <c r="L92" s="47">
        <f t="shared" si="38"/>
        <v>0</v>
      </c>
      <c r="M92" s="47">
        <f t="shared" si="38"/>
        <v>0</v>
      </c>
      <c r="N92" s="73">
        <f t="shared" si="38"/>
        <v>9764.23</v>
      </c>
      <c r="O92" s="104">
        <f t="shared" si="38"/>
        <v>0</v>
      </c>
      <c r="P92" s="104"/>
      <c r="Q92" s="104">
        <f>Q93</f>
        <v>0</v>
      </c>
      <c r="R92" s="105">
        <f>R93</f>
        <v>0</v>
      </c>
      <c r="S92" s="73">
        <f>S93</f>
        <v>10092.35</v>
      </c>
    </row>
    <row r="93" spans="1:19" ht="33.75" customHeight="1">
      <c r="A93" s="4" t="s">
        <v>55</v>
      </c>
      <c r="B93" s="5"/>
      <c r="C93" s="44">
        <f>C94+C95+C96</f>
        <v>9764.23</v>
      </c>
      <c r="D93" s="44">
        <f>D94+D95+D96</f>
        <v>0</v>
      </c>
      <c r="E93" s="44">
        <f>E94+E95+E96</f>
        <v>9764.23</v>
      </c>
      <c r="F93" s="5" t="s">
        <v>224</v>
      </c>
      <c r="G93" s="5"/>
      <c r="H93" s="44">
        <f aca="true" t="shared" si="39" ref="H93:O93">H94+H95+H96</f>
        <v>9764.23</v>
      </c>
      <c r="I93" s="44">
        <f t="shared" si="39"/>
        <v>0</v>
      </c>
      <c r="J93" s="44">
        <f t="shared" si="39"/>
        <v>9764.23</v>
      </c>
      <c r="K93" s="70">
        <f t="shared" si="39"/>
        <v>0</v>
      </c>
      <c r="L93" s="44">
        <f t="shared" si="39"/>
        <v>0</v>
      </c>
      <c r="M93" s="44">
        <f t="shared" si="39"/>
        <v>0</v>
      </c>
      <c r="N93" s="70">
        <f t="shared" si="39"/>
        <v>9764.23</v>
      </c>
      <c r="O93" s="106">
        <f t="shared" si="39"/>
        <v>0</v>
      </c>
      <c r="P93" s="106"/>
      <c r="Q93" s="106">
        <f>Q94+Q95+Q96</f>
        <v>0</v>
      </c>
      <c r="R93" s="107">
        <f>R94+R95+R96</f>
        <v>0</v>
      </c>
      <c r="S93" s="76">
        <f>S94+S95+S96</f>
        <v>10092.35</v>
      </c>
    </row>
    <row r="94" spans="1:19" ht="63" customHeight="1">
      <c r="A94" s="4" t="s">
        <v>14</v>
      </c>
      <c r="B94" s="5" t="s">
        <v>15</v>
      </c>
      <c r="C94" s="44">
        <f>6724.8+2031</f>
        <v>8755.8</v>
      </c>
      <c r="D94" s="44"/>
      <c r="E94" s="44">
        <f>C94+D94</f>
        <v>8755.8</v>
      </c>
      <c r="F94" s="5" t="s">
        <v>224</v>
      </c>
      <c r="G94" s="5" t="s">
        <v>15</v>
      </c>
      <c r="H94" s="44">
        <f>6724.8+2031</f>
        <v>8755.8</v>
      </c>
      <c r="I94" s="44"/>
      <c r="J94" s="44">
        <f>H94+I94</f>
        <v>8755.8</v>
      </c>
      <c r="K94" s="70"/>
      <c r="L94" s="44"/>
      <c r="M94" s="44">
        <v>-55.1</v>
      </c>
      <c r="N94" s="70">
        <f>J94+M94</f>
        <v>8700.699999999999</v>
      </c>
      <c r="O94" s="106"/>
      <c r="P94" s="106"/>
      <c r="Q94" s="106"/>
      <c r="R94" s="107"/>
      <c r="S94" s="76">
        <f>8707.1+328.12-19.53</f>
        <v>9015.69</v>
      </c>
    </row>
    <row r="95" spans="1:19" ht="30" customHeight="1">
      <c r="A95" s="4" t="s">
        <v>16</v>
      </c>
      <c r="B95" s="5" t="s">
        <v>17</v>
      </c>
      <c r="C95" s="44">
        <v>1004.43</v>
      </c>
      <c r="D95" s="44"/>
      <c r="E95" s="44">
        <f>C95+D95</f>
        <v>1004.43</v>
      </c>
      <c r="F95" s="5" t="s">
        <v>224</v>
      </c>
      <c r="G95" s="5" t="s">
        <v>17</v>
      </c>
      <c r="H95" s="44">
        <v>1004.43</v>
      </c>
      <c r="I95" s="44"/>
      <c r="J95" s="44">
        <f>H95+I95</f>
        <v>1004.43</v>
      </c>
      <c r="K95" s="70"/>
      <c r="L95" s="44"/>
      <c r="M95" s="44">
        <v>47.85</v>
      </c>
      <c r="N95" s="70">
        <f>J95+M95</f>
        <v>1052.28</v>
      </c>
      <c r="O95" s="106"/>
      <c r="P95" s="106"/>
      <c r="Q95" s="106"/>
      <c r="R95" s="107"/>
      <c r="S95" s="76">
        <f>1045.38+19.53</f>
        <v>1064.91</v>
      </c>
    </row>
    <row r="96" spans="1:19" ht="18" customHeight="1">
      <c r="A96" s="4" t="s">
        <v>58</v>
      </c>
      <c r="B96" s="5" t="s">
        <v>19</v>
      </c>
      <c r="C96" s="44">
        <v>4</v>
      </c>
      <c r="D96" s="44"/>
      <c r="E96" s="44">
        <f>C96+D96</f>
        <v>4</v>
      </c>
      <c r="F96" s="5" t="s">
        <v>224</v>
      </c>
      <c r="G96" s="5" t="s">
        <v>19</v>
      </c>
      <c r="H96" s="44">
        <v>4</v>
      </c>
      <c r="I96" s="44"/>
      <c r="J96" s="44">
        <f>H96+I96</f>
        <v>4</v>
      </c>
      <c r="K96" s="70"/>
      <c r="L96" s="44"/>
      <c r="M96" s="44">
        <v>7.25</v>
      </c>
      <c r="N96" s="70">
        <f>J96+M96</f>
        <v>11.25</v>
      </c>
      <c r="O96" s="106"/>
      <c r="P96" s="106"/>
      <c r="Q96" s="106"/>
      <c r="R96" s="107"/>
      <c r="S96" s="76">
        <v>11.75</v>
      </c>
    </row>
    <row r="97" spans="1:19" ht="15.75">
      <c r="A97" s="30" t="s">
        <v>123</v>
      </c>
      <c r="B97" s="31"/>
      <c r="C97" s="40" t="e">
        <f>C98+C160</f>
        <v>#REF!</v>
      </c>
      <c r="D97" s="40" t="e">
        <f>D98+D160</f>
        <v>#REF!</v>
      </c>
      <c r="E97" s="40" t="e">
        <f>E98+E160</f>
        <v>#REF!</v>
      </c>
      <c r="F97" s="31" t="s">
        <v>23</v>
      </c>
      <c r="G97" s="31"/>
      <c r="H97" s="40" t="e">
        <f aca="true" t="shared" si="40" ref="H97:O97">H98+H160</f>
        <v>#REF!</v>
      </c>
      <c r="I97" s="40" t="e">
        <f t="shared" si="40"/>
        <v>#REF!</v>
      </c>
      <c r="J97" s="40" t="e">
        <f t="shared" si="40"/>
        <v>#REF!</v>
      </c>
      <c r="K97" s="66" t="e">
        <f t="shared" si="40"/>
        <v>#REF!</v>
      </c>
      <c r="L97" s="40" t="e">
        <f t="shared" si="40"/>
        <v>#REF!</v>
      </c>
      <c r="M97" s="40" t="e">
        <f t="shared" si="40"/>
        <v>#REF!</v>
      </c>
      <c r="N97" s="66" t="e">
        <f t="shared" si="40"/>
        <v>#REF!</v>
      </c>
      <c r="O97" s="98" t="e">
        <f t="shared" si="40"/>
        <v>#REF!</v>
      </c>
      <c r="P97" s="98"/>
      <c r="Q97" s="98" t="e">
        <f>Q98+Q160</f>
        <v>#REF!</v>
      </c>
      <c r="R97" s="99" t="e">
        <f>R98+R160</f>
        <v>#REF!</v>
      </c>
      <c r="S97" s="134">
        <f>S98+S160</f>
        <v>32795.14000000001</v>
      </c>
    </row>
    <row r="98" spans="1:19" s="34" customFormat="1" ht="31.5">
      <c r="A98" s="12" t="s">
        <v>150</v>
      </c>
      <c r="B98" s="23"/>
      <c r="C98" s="45">
        <f>C99+C110+C131+C139+C149+C153</f>
        <v>31091.284000000003</v>
      </c>
      <c r="D98" s="45">
        <f>D99+D110+D131+D139+D149+D153</f>
        <v>114.206</v>
      </c>
      <c r="E98" s="45">
        <f>E99+E110+E131+E139+E149+E153</f>
        <v>31205.490000000005</v>
      </c>
      <c r="F98" s="23" t="s">
        <v>39</v>
      </c>
      <c r="G98" s="23"/>
      <c r="H98" s="45">
        <f aca="true" t="shared" si="41" ref="H98:O98">H99+H110+H131+H139+H149+H153</f>
        <v>31091.284000000003</v>
      </c>
      <c r="I98" s="45">
        <f t="shared" si="41"/>
        <v>114.206</v>
      </c>
      <c r="J98" s="45">
        <f t="shared" si="41"/>
        <v>31205.490000000005</v>
      </c>
      <c r="K98" s="67">
        <f t="shared" si="41"/>
        <v>0</v>
      </c>
      <c r="L98" s="45">
        <f t="shared" si="41"/>
        <v>0</v>
      </c>
      <c r="M98" s="45">
        <f t="shared" si="41"/>
        <v>0</v>
      </c>
      <c r="N98" s="67">
        <f t="shared" si="41"/>
        <v>31205.490000000005</v>
      </c>
      <c r="O98" s="100">
        <f t="shared" si="41"/>
        <v>0</v>
      </c>
      <c r="P98" s="100"/>
      <c r="Q98" s="100">
        <f>Q99+Q110+Q131+Q139+Q149+Q153</f>
        <v>0</v>
      </c>
      <c r="R98" s="101">
        <f>R99+R110+R131+R139+R149+R153</f>
        <v>2.5579538487363607E-13</v>
      </c>
      <c r="S98" s="71">
        <f>S99+S110+S131+S139+S149+S153</f>
        <v>31205.490000000005</v>
      </c>
    </row>
    <row r="99" spans="1:19" ht="51.75" customHeight="1">
      <c r="A99" s="17" t="s">
        <v>76</v>
      </c>
      <c r="B99" s="21"/>
      <c r="C99" s="49">
        <f>C100</f>
        <v>5653</v>
      </c>
      <c r="D99" s="49">
        <f>D100</f>
        <v>0</v>
      </c>
      <c r="E99" s="49">
        <f>E100</f>
        <v>5653</v>
      </c>
      <c r="F99" s="21" t="s">
        <v>225</v>
      </c>
      <c r="G99" s="21"/>
      <c r="H99" s="49">
        <f aca="true" t="shared" si="42" ref="H99:O99">H100</f>
        <v>5653</v>
      </c>
      <c r="I99" s="49">
        <f t="shared" si="42"/>
        <v>0</v>
      </c>
      <c r="J99" s="49">
        <f t="shared" si="42"/>
        <v>5653</v>
      </c>
      <c r="K99" s="75">
        <f t="shared" si="42"/>
        <v>0</v>
      </c>
      <c r="L99" s="49">
        <f t="shared" si="42"/>
        <v>0</v>
      </c>
      <c r="M99" s="49">
        <f t="shared" si="42"/>
        <v>0</v>
      </c>
      <c r="N99" s="75">
        <f t="shared" si="42"/>
        <v>5653</v>
      </c>
      <c r="O99" s="102">
        <f t="shared" si="42"/>
        <v>0</v>
      </c>
      <c r="P99" s="102"/>
      <c r="Q99" s="102">
        <f>Q100</f>
        <v>0</v>
      </c>
      <c r="R99" s="103">
        <f>R100</f>
        <v>0</v>
      </c>
      <c r="S99" s="75">
        <f>S100</f>
        <v>5753</v>
      </c>
    </row>
    <row r="100" spans="1:19" ht="51.75" customHeight="1">
      <c r="A100" s="19" t="s">
        <v>78</v>
      </c>
      <c r="B100" s="18"/>
      <c r="C100" s="47">
        <f>C101+C104+C106+C108</f>
        <v>5653</v>
      </c>
      <c r="D100" s="47">
        <f>D101+D104+D106+D108</f>
        <v>0</v>
      </c>
      <c r="E100" s="47">
        <f>E101+E104+E106+E108</f>
        <v>5653</v>
      </c>
      <c r="F100" s="18" t="s">
        <v>417</v>
      </c>
      <c r="G100" s="18"/>
      <c r="H100" s="47">
        <f aca="true" t="shared" si="43" ref="H100:O100">H101+H104+H106+H108</f>
        <v>5653</v>
      </c>
      <c r="I100" s="47">
        <f t="shared" si="43"/>
        <v>0</v>
      </c>
      <c r="J100" s="47">
        <f t="shared" si="43"/>
        <v>5653</v>
      </c>
      <c r="K100" s="73">
        <f t="shared" si="43"/>
        <v>0</v>
      </c>
      <c r="L100" s="47">
        <f t="shared" si="43"/>
        <v>0</v>
      </c>
      <c r="M100" s="47">
        <f t="shared" si="43"/>
        <v>0</v>
      </c>
      <c r="N100" s="73">
        <f t="shared" si="43"/>
        <v>5653</v>
      </c>
      <c r="O100" s="104">
        <f t="shared" si="43"/>
        <v>0</v>
      </c>
      <c r="P100" s="104"/>
      <c r="Q100" s="104">
        <f>Q101+Q104+Q106+Q108</f>
        <v>0</v>
      </c>
      <c r="R100" s="105">
        <f>R101+R104+R106+R108</f>
        <v>0</v>
      </c>
      <c r="S100" s="73">
        <f>S101+S104+S106+S108</f>
        <v>5753</v>
      </c>
    </row>
    <row r="101" spans="1:19" ht="172.5" customHeight="1">
      <c r="A101" s="10" t="s">
        <v>77</v>
      </c>
      <c r="B101" s="8"/>
      <c r="C101" s="42">
        <f>C103</f>
        <v>1000</v>
      </c>
      <c r="D101" s="42">
        <f>D103</f>
        <v>0</v>
      </c>
      <c r="E101" s="42">
        <f>E103</f>
        <v>1000</v>
      </c>
      <c r="F101" s="9" t="s">
        <v>418</v>
      </c>
      <c r="G101" s="8"/>
      <c r="H101" s="42">
        <f aca="true" t="shared" si="44" ref="H101:O101">H103</f>
        <v>1000</v>
      </c>
      <c r="I101" s="42">
        <f t="shared" si="44"/>
        <v>0</v>
      </c>
      <c r="J101" s="42">
        <f t="shared" si="44"/>
        <v>1000</v>
      </c>
      <c r="K101" s="68">
        <f t="shared" si="44"/>
        <v>0</v>
      </c>
      <c r="L101" s="42">
        <f t="shared" si="44"/>
        <v>0</v>
      </c>
      <c r="M101" s="42">
        <f t="shared" si="44"/>
        <v>0</v>
      </c>
      <c r="N101" s="68">
        <f t="shared" si="44"/>
        <v>1000</v>
      </c>
      <c r="O101" s="102">
        <f t="shared" si="44"/>
        <v>0</v>
      </c>
      <c r="P101" s="102"/>
      <c r="Q101" s="102">
        <f>Q103</f>
        <v>0</v>
      </c>
      <c r="R101" s="103">
        <f>R103</f>
        <v>0</v>
      </c>
      <c r="S101" s="75">
        <f>S103+S102</f>
        <v>1099.9999999999998</v>
      </c>
    </row>
    <row r="102" spans="1:20" ht="43.5" customHeight="1">
      <c r="A102" s="4" t="s">
        <v>16</v>
      </c>
      <c r="B102" s="139"/>
      <c r="C102" s="44"/>
      <c r="D102" s="44"/>
      <c r="E102" s="44"/>
      <c r="F102" s="5" t="s">
        <v>418</v>
      </c>
      <c r="G102" s="20" t="s">
        <v>17</v>
      </c>
      <c r="H102" s="48"/>
      <c r="I102" s="48"/>
      <c r="J102" s="48"/>
      <c r="K102" s="76"/>
      <c r="L102" s="48"/>
      <c r="M102" s="48"/>
      <c r="N102" s="76"/>
      <c r="O102" s="76"/>
      <c r="P102" s="76"/>
      <c r="Q102" s="76"/>
      <c r="R102" s="48"/>
      <c r="S102" s="76">
        <v>47.61</v>
      </c>
      <c r="T102" s="2"/>
    </row>
    <row r="103" spans="1:19" ht="34.5" customHeight="1">
      <c r="A103" s="4" t="s">
        <v>24</v>
      </c>
      <c r="B103" s="5" t="s">
        <v>25</v>
      </c>
      <c r="C103" s="44">
        <v>1000</v>
      </c>
      <c r="D103" s="44"/>
      <c r="E103" s="44">
        <f>C103+D103</f>
        <v>1000</v>
      </c>
      <c r="F103" s="5" t="s">
        <v>418</v>
      </c>
      <c r="G103" s="5" t="s">
        <v>25</v>
      </c>
      <c r="H103" s="44">
        <v>1000</v>
      </c>
      <c r="I103" s="44"/>
      <c r="J103" s="44">
        <f>H103+I103</f>
        <v>1000</v>
      </c>
      <c r="K103" s="70"/>
      <c r="L103" s="44"/>
      <c r="M103" s="44"/>
      <c r="N103" s="70">
        <f>J103+M103</f>
        <v>1000</v>
      </c>
      <c r="O103" s="106"/>
      <c r="P103" s="106"/>
      <c r="Q103" s="106"/>
      <c r="R103" s="107"/>
      <c r="S103" s="76">
        <f>952.39+100</f>
        <v>1052.3899999999999</v>
      </c>
    </row>
    <row r="104" spans="1:19" ht="113.25" customHeight="1">
      <c r="A104" s="10" t="s">
        <v>79</v>
      </c>
      <c r="B104" s="9"/>
      <c r="C104" s="42">
        <f>C105</f>
        <v>216</v>
      </c>
      <c r="D104" s="42">
        <f>D105</f>
        <v>0</v>
      </c>
      <c r="E104" s="42">
        <f>E105</f>
        <v>216</v>
      </c>
      <c r="F104" s="9" t="s">
        <v>419</v>
      </c>
      <c r="G104" s="9"/>
      <c r="H104" s="42">
        <f aca="true" t="shared" si="45" ref="H104:O104">H105</f>
        <v>216</v>
      </c>
      <c r="I104" s="42">
        <f t="shared" si="45"/>
        <v>0</v>
      </c>
      <c r="J104" s="42">
        <f t="shared" si="45"/>
        <v>216</v>
      </c>
      <c r="K104" s="68">
        <f t="shared" si="45"/>
        <v>0</v>
      </c>
      <c r="L104" s="42">
        <f t="shared" si="45"/>
        <v>0</v>
      </c>
      <c r="M104" s="42">
        <f t="shared" si="45"/>
        <v>0</v>
      </c>
      <c r="N104" s="68">
        <f t="shared" si="45"/>
        <v>216</v>
      </c>
      <c r="O104" s="102">
        <f t="shared" si="45"/>
        <v>0</v>
      </c>
      <c r="P104" s="102"/>
      <c r="Q104" s="102">
        <f>Q105</f>
        <v>0</v>
      </c>
      <c r="R104" s="103">
        <f>R105</f>
        <v>0</v>
      </c>
      <c r="S104" s="75">
        <f>S105</f>
        <v>216</v>
      </c>
    </row>
    <row r="105" spans="1:19" ht="33" customHeight="1">
      <c r="A105" s="22" t="s">
        <v>24</v>
      </c>
      <c r="B105" s="20" t="s">
        <v>25</v>
      </c>
      <c r="C105" s="48">
        <v>216</v>
      </c>
      <c r="D105" s="48"/>
      <c r="E105" s="48">
        <v>216</v>
      </c>
      <c r="F105" s="20" t="s">
        <v>419</v>
      </c>
      <c r="G105" s="20" t="s">
        <v>25</v>
      </c>
      <c r="H105" s="48">
        <v>216</v>
      </c>
      <c r="I105" s="48"/>
      <c r="J105" s="48">
        <v>216</v>
      </c>
      <c r="K105" s="76"/>
      <c r="L105" s="48"/>
      <c r="M105" s="48"/>
      <c r="N105" s="76">
        <f>J105+M105</f>
        <v>216</v>
      </c>
      <c r="O105" s="106"/>
      <c r="P105" s="106"/>
      <c r="Q105" s="106"/>
      <c r="R105" s="107"/>
      <c r="S105" s="76">
        <v>216</v>
      </c>
    </row>
    <row r="106" spans="1:19" ht="180" customHeight="1">
      <c r="A106" s="17" t="s">
        <v>95</v>
      </c>
      <c r="B106" s="21"/>
      <c r="C106" s="49">
        <f>C107</f>
        <v>2997</v>
      </c>
      <c r="D106" s="49">
        <f>D107</f>
        <v>0</v>
      </c>
      <c r="E106" s="49">
        <f>E107</f>
        <v>2997</v>
      </c>
      <c r="F106" s="21" t="s">
        <v>421</v>
      </c>
      <c r="G106" s="21"/>
      <c r="H106" s="49">
        <f aca="true" t="shared" si="46" ref="H106:O106">H107</f>
        <v>2997</v>
      </c>
      <c r="I106" s="49">
        <f t="shared" si="46"/>
        <v>0</v>
      </c>
      <c r="J106" s="49">
        <f t="shared" si="46"/>
        <v>2997</v>
      </c>
      <c r="K106" s="75">
        <f t="shared" si="46"/>
        <v>0</v>
      </c>
      <c r="L106" s="49">
        <f t="shared" si="46"/>
        <v>0</v>
      </c>
      <c r="M106" s="49">
        <f t="shared" si="46"/>
        <v>0</v>
      </c>
      <c r="N106" s="75">
        <f t="shared" si="46"/>
        <v>2997</v>
      </c>
      <c r="O106" s="102">
        <f t="shared" si="46"/>
        <v>0</v>
      </c>
      <c r="P106" s="102"/>
      <c r="Q106" s="102">
        <f>Q107</f>
        <v>0</v>
      </c>
      <c r="R106" s="103">
        <f>R107</f>
        <v>0</v>
      </c>
      <c r="S106" s="75">
        <f>S107</f>
        <v>2997</v>
      </c>
    </row>
    <row r="107" spans="1:19" ht="33" customHeight="1">
      <c r="A107" s="4" t="s">
        <v>24</v>
      </c>
      <c r="B107" s="5" t="s">
        <v>25</v>
      </c>
      <c r="C107" s="44">
        <v>2997</v>
      </c>
      <c r="D107" s="44"/>
      <c r="E107" s="44">
        <f>C107+D107</f>
        <v>2997</v>
      </c>
      <c r="F107" s="5" t="s">
        <v>421</v>
      </c>
      <c r="G107" s="5" t="s">
        <v>25</v>
      </c>
      <c r="H107" s="44">
        <v>2997</v>
      </c>
      <c r="I107" s="44"/>
      <c r="J107" s="44">
        <f>H107+I107</f>
        <v>2997</v>
      </c>
      <c r="K107" s="70"/>
      <c r="L107" s="44"/>
      <c r="M107" s="44"/>
      <c r="N107" s="70">
        <f>J107+M107</f>
        <v>2997</v>
      </c>
      <c r="O107" s="106"/>
      <c r="P107" s="106"/>
      <c r="Q107" s="106"/>
      <c r="R107" s="107"/>
      <c r="S107" s="76">
        <v>2997</v>
      </c>
    </row>
    <row r="108" spans="1:19" ht="135" customHeight="1">
      <c r="A108" s="17" t="s">
        <v>80</v>
      </c>
      <c r="B108" s="21"/>
      <c r="C108" s="49">
        <f>C109</f>
        <v>1440</v>
      </c>
      <c r="D108" s="49">
        <f>D109</f>
        <v>0</v>
      </c>
      <c r="E108" s="49">
        <f>E109</f>
        <v>1440</v>
      </c>
      <c r="F108" s="21" t="s">
        <v>420</v>
      </c>
      <c r="G108" s="21"/>
      <c r="H108" s="49">
        <f aca="true" t="shared" si="47" ref="H108:O108">H109</f>
        <v>1440</v>
      </c>
      <c r="I108" s="49">
        <f t="shared" si="47"/>
        <v>0</v>
      </c>
      <c r="J108" s="49">
        <f t="shared" si="47"/>
        <v>1440</v>
      </c>
      <c r="K108" s="75">
        <f t="shared" si="47"/>
        <v>0</v>
      </c>
      <c r="L108" s="49">
        <f t="shared" si="47"/>
        <v>0</v>
      </c>
      <c r="M108" s="49">
        <f t="shared" si="47"/>
        <v>0</v>
      </c>
      <c r="N108" s="75">
        <f t="shared" si="47"/>
        <v>1440</v>
      </c>
      <c r="O108" s="102">
        <f t="shared" si="47"/>
        <v>0</v>
      </c>
      <c r="P108" s="102"/>
      <c r="Q108" s="102">
        <f>Q109</f>
        <v>0</v>
      </c>
      <c r="R108" s="103">
        <f>R109</f>
        <v>0</v>
      </c>
      <c r="S108" s="75">
        <f>S109</f>
        <v>1440</v>
      </c>
    </row>
    <row r="109" spans="1:19" ht="31.5">
      <c r="A109" s="4" t="s">
        <v>24</v>
      </c>
      <c r="B109" s="20" t="s">
        <v>25</v>
      </c>
      <c r="C109" s="48">
        <v>1440</v>
      </c>
      <c r="D109" s="48"/>
      <c r="E109" s="44">
        <f>C109+D109</f>
        <v>1440</v>
      </c>
      <c r="F109" s="20" t="s">
        <v>420</v>
      </c>
      <c r="G109" s="20" t="s">
        <v>25</v>
      </c>
      <c r="H109" s="48">
        <v>1440</v>
      </c>
      <c r="I109" s="48"/>
      <c r="J109" s="44">
        <f>H109+I109</f>
        <v>1440</v>
      </c>
      <c r="K109" s="70"/>
      <c r="L109" s="44"/>
      <c r="M109" s="44"/>
      <c r="N109" s="70">
        <f>J109+M109</f>
        <v>1440</v>
      </c>
      <c r="O109" s="106"/>
      <c r="P109" s="106"/>
      <c r="Q109" s="106"/>
      <c r="R109" s="107"/>
      <c r="S109" s="76">
        <v>1440</v>
      </c>
    </row>
    <row r="110" spans="1:19" ht="47.25" customHeight="1">
      <c r="A110" s="17" t="s">
        <v>81</v>
      </c>
      <c r="B110" s="9"/>
      <c r="C110" s="42">
        <f>C111+C116+C119+C123+C126+C129</f>
        <v>11749.83</v>
      </c>
      <c r="D110" s="42">
        <f>D111+D116+D119+D123+D126+D129</f>
        <v>0</v>
      </c>
      <c r="E110" s="42">
        <f>E111+E116+E119+E123+E126+E129</f>
        <v>11749.83</v>
      </c>
      <c r="F110" s="9" t="s">
        <v>226</v>
      </c>
      <c r="G110" s="9"/>
      <c r="H110" s="42">
        <f aca="true" t="shared" si="48" ref="H110:O110">H111+H116+H119+H123+H126+H129</f>
        <v>11749.83</v>
      </c>
      <c r="I110" s="42">
        <f t="shared" si="48"/>
        <v>0</v>
      </c>
      <c r="J110" s="42">
        <f t="shared" si="48"/>
        <v>11749.83</v>
      </c>
      <c r="K110" s="68">
        <f t="shared" si="48"/>
        <v>0</v>
      </c>
      <c r="L110" s="42">
        <f t="shared" si="48"/>
        <v>0</v>
      </c>
      <c r="M110" s="42">
        <f t="shared" si="48"/>
        <v>0</v>
      </c>
      <c r="N110" s="68">
        <f t="shared" si="48"/>
        <v>11749.83</v>
      </c>
      <c r="O110" s="102">
        <f t="shared" si="48"/>
        <v>0</v>
      </c>
      <c r="P110" s="102"/>
      <c r="Q110" s="102">
        <f>Q111+Q116+Q119+Q123+Q126+Q129</f>
        <v>0</v>
      </c>
      <c r="R110" s="103">
        <f>R111+R116+R119+R123+R126+R129</f>
        <v>0</v>
      </c>
      <c r="S110" s="75">
        <f>S111+S116+S119+S123+S126+S129</f>
        <v>11649.83</v>
      </c>
    </row>
    <row r="111" spans="1:19" ht="48.75" customHeight="1">
      <c r="A111" s="19" t="s">
        <v>82</v>
      </c>
      <c r="B111" s="14"/>
      <c r="C111" s="43">
        <f>C112+C114</f>
        <v>600</v>
      </c>
      <c r="D111" s="43">
        <f>D112+D114</f>
        <v>0</v>
      </c>
      <c r="E111" s="43">
        <f>E112+E114</f>
        <v>600</v>
      </c>
      <c r="F111" s="14" t="s">
        <v>432</v>
      </c>
      <c r="G111" s="14"/>
      <c r="H111" s="43">
        <f aca="true" t="shared" si="49" ref="H111:O111">H112+H114</f>
        <v>600</v>
      </c>
      <c r="I111" s="43">
        <f t="shared" si="49"/>
        <v>0</v>
      </c>
      <c r="J111" s="43">
        <f t="shared" si="49"/>
        <v>600</v>
      </c>
      <c r="K111" s="69">
        <f t="shared" si="49"/>
        <v>0</v>
      </c>
      <c r="L111" s="43">
        <f t="shared" si="49"/>
        <v>0</v>
      </c>
      <c r="M111" s="43">
        <f t="shared" si="49"/>
        <v>0</v>
      </c>
      <c r="N111" s="69">
        <f t="shared" si="49"/>
        <v>600</v>
      </c>
      <c r="O111" s="104">
        <f t="shared" si="49"/>
        <v>0</v>
      </c>
      <c r="P111" s="104"/>
      <c r="Q111" s="104">
        <f>Q112+Q114</f>
        <v>0</v>
      </c>
      <c r="R111" s="105">
        <f>R112+R114</f>
        <v>0</v>
      </c>
      <c r="S111" s="73">
        <f>S112+S114</f>
        <v>600</v>
      </c>
    </row>
    <row r="112" spans="1:19" ht="131.25" customHeight="1">
      <c r="A112" s="15" t="s">
        <v>96</v>
      </c>
      <c r="B112" s="21"/>
      <c r="C112" s="49">
        <f>C113</f>
        <v>150</v>
      </c>
      <c r="D112" s="49">
        <f>D113</f>
        <v>0</v>
      </c>
      <c r="E112" s="49">
        <f>E113</f>
        <v>150</v>
      </c>
      <c r="F112" s="21" t="s">
        <v>423</v>
      </c>
      <c r="G112" s="21"/>
      <c r="H112" s="49">
        <f aca="true" t="shared" si="50" ref="H112:O112">H113</f>
        <v>150</v>
      </c>
      <c r="I112" s="49">
        <f t="shared" si="50"/>
        <v>0</v>
      </c>
      <c r="J112" s="49">
        <f t="shared" si="50"/>
        <v>150</v>
      </c>
      <c r="K112" s="75">
        <f t="shared" si="50"/>
        <v>0</v>
      </c>
      <c r="L112" s="49">
        <f t="shared" si="50"/>
        <v>0</v>
      </c>
      <c r="M112" s="49">
        <f t="shared" si="50"/>
        <v>0</v>
      </c>
      <c r="N112" s="75">
        <f t="shared" si="50"/>
        <v>150</v>
      </c>
      <c r="O112" s="102">
        <f t="shared" si="50"/>
        <v>0</v>
      </c>
      <c r="P112" s="102"/>
      <c r="Q112" s="102">
        <f>Q113</f>
        <v>0</v>
      </c>
      <c r="R112" s="103">
        <f>R113</f>
        <v>0</v>
      </c>
      <c r="S112" s="75">
        <f>S113</f>
        <v>150</v>
      </c>
    </row>
    <row r="113" spans="1:19" ht="30" customHeight="1">
      <c r="A113" s="4" t="s">
        <v>24</v>
      </c>
      <c r="B113" s="5" t="s">
        <v>25</v>
      </c>
      <c r="C113" s="44">
        <v>150</v>
      </c>
      <c r="D113" s="44"/>
      <c r="E113" s="44">
        <f>C113+D113</f>
        <v>150</v>
      </c>
      <c r="F113" s="5" t="s">
        <v>423</v>
      </c>
      <c r="G113" s="5" t="s">
        <v>25</v>
      </c>
      <c r="H113" s="44">
        <v>150</v>
      </c>
      <c r="I113" s="44"/>
      <c r="J113" s="44">
        <f>H113+I113</f>
        <v>150</v>
      </c>
      <c r="K113" s="70"/>
      <c r="L113" s="44"/>
      <c r="M113" s="44"/>
      <c r="N113" s="70">
        <f>J113+M113</f>
        <v>150</v>
      </c>
      <c r="O113" s="106"/>
      <c r="P113" s="106"/>
      <c r="Q113" s="106"/>
      <c r="R113" s="107"/>
      <c r="S113" s="76">
        <v>150</v>
      </c>
    </row>
    <row r="114" spans="1:19" ht="145.5" customHeight="1">
      <c r="A114" s="12" t="s">
        <v>97</v>
      </c>
      <c r="B114" s="9"/>
      <c r="C114" s="42">
        <f>C115</f>
        <v>450</v>
      </c>
      <c r="D114" s="42">
        <f>D115</f>
        <v>0</v>
      </c>
      <c r="E114" s="42">
        <f>E115</f>
        <v>450</v>
      </c>
      <c r="F114" s="9" t="s">
        <v>422</v>
      </c>
      <c r="G114" s="9"/>
      <c r="H114" s="42">
        <f aca="true" t="shared" si="51" ref="H114:O114">H115</f>
        <v>450</v>
      </c>
      <c r="I114" s="42">
        <f t="shared" si="51"/>
        <v>0</v>
      </c>
      <c r="J114" s="42">
        <f t="shared" si="51"/>
        <v>450</v>
      </c>
      <c r="K114" s="68">
        <f t="shared" si="51"/>
        <v>0</v>
      </c>
      <c r="L114" s="42">
        <f t="shared" si="51"/>
        <v>0</v>
      </c>
      <c r="M114" s="42">
        <f t="shared" si="51"/>
        <v>0</v>
      </c>
      <c r="N114" s="68">
        <f t="shared" si="51"/>
        <v>450</v>
      </c>
      <c r="O114" s="102">
        <f t="shared" si="51"/>
        <v>0</v>
      </c>
      <c r="P114" s="102"/>
      <c r="Q114" s="102">
        <f>Q115</f>
        <v>0</v>
      </c>
      <c r="R114" s="103">
        <f>R115</f>
        <v>0</v>
      </c>
      <c r="S114" s="75">
        <f>S115</f>
        <v>450</v>
      </c>
    </row>
    <row r="115" spans="1:19" ht="33" customHeight="1">
      <c r="A115" s="26" t="s">
        <v>24</v>
      </c>
      <c r="B115" s="5" t="s">
        <v>25</v>
      </c>
      <c r="C115" s="44">
        <v>450</v>
      </c>
      <c r="D115" s="44"/>
      <c r="E115" s="44">
        <v>450</v>
      </c>
      <c r="F115" s="5" t="s">
        <v>422</v>
      </c>
      <c r="G115" s="5" t="s">
        <v>25</v>
      </c>
      <c r="H115" s="44">
        <v>450</v>
      </c>
      <c r="I115" s="44"/>
      <c r="J115" s="44">
        <v>450</v>
      </c>
      <c r="K115" s="70"/>
      <c r="L115" s="44"/>
      <c r="M115" s="44"/>
      <c r="N115" s="70">
        <f>J115+M115</f>
        <v>450</v>
      </c>
      <c r="O115" s="106"/>
      <c r="P115" s="106"/>
      <c r="Q115" s="106"/>
      <c r="R115" s="107"/>
      <c r="S115" s="76">
        <v>450</v>
      </c>
    </row>
    <row r="116" spans="1:19" ht="34.5" customHeight="1">
      <c r="A116" s="13" t="s">
        <v>84</v>
      </c>
      <c r="B116" s="14"/>
      <c r="C116" s="43">
        <f aca="true" t="shared" si="52" ref="C116:E117">C117</f>
        <v>100</v>
      </c>
      <c r="D116" s="43">
        <f t="shared" si="52"/>
        <v>0</v>
      </c>
      <c r="E116" s="43">
        <f t="shared" si="52"/>
        <v>100</v>
      </c>
      <c r="F116" s="14" t="s">
        <v>264</v>
      </c>
      <c r="G116" s="14"/>
      <c r="H116" s="43">
        <f aca="true" t="shared" si="53" ref="H116:O117">H117</f>
        <v>100</v>
      </c>
      <c r="I116" s="43">
        <f t="shared" si="53"/>
        <v>0</v>
      </c>
      <c r="J116" s="43">
        <f t="shared" si="53"/>
        <v>100</v>
      </c>
      <c r="K116" s="69">
        <f t="shared" si="53"/>
        <v>0</v>
      </c>
      <c r="L116" s="43">
        <f t="shared" si="53"/>
        <v>0</v>
      </c>
      <c r="M116" s="43">
        <f t="shared" si="53"/>
        <v>0</v>
      </c>
      <c r="N116" s="69">
        <f t="shared" si="53"/>
        <v>100</v>
      </c>
      <c r="O116" s="104">
        <f t="shared" si="53"/>
        <v>0</v>
      </c>
      <c r="P116" s="104"/>
      <c r="Q116" s="104">
        <f aca="true" t="shared" si="54" ref="Q116:S117">Q117</f>
        <v>0</v>
      </c>
      <c r="R116" s="105">
        <f t="shared" si="54"/>
        <v>0</v>
      </c>
      <c r="S116" s="73">
        <f t="shared" si="54"/>
        <v>0</v>
      </c>
    </row>
    <row r="117" spans="1:19" ht="20.25" customHeight="1">
      <c r="A117" s="4" t="s">
        <v>83</v>
      </c>
      <c r="B117" s="5"/>
      <c r="C117" s="44">
        <f t="shared" si="52"/>
        <v>100</v>
      </c>
      <c r="D117" s="44">
        <f t="shared" si="52"/>
        <v>0</v>
      </c>
      <c r="E117" s="44">
        <f t="shared" si="52"/>
        <v>100</v>
      </c>
      <c r="F117" s="5" t="s">
        <v>227</v>
      </c>
      <c r="G117" s="5"/>
      <c r="H117" s="44">
        <f t="shared" si="53"/>
        <v>100</v>
      </c>
      <c r="I117" s="44">
        <f t="shared" si="53"/>
        <v>0</v>
      </c>
      <c r="J117" s="44">
        <f t="shared" si="53"/>
        <v>100</v>
      </c>
      <c r="K117" s="70">
        <f t="shared" si="53"/>
        <v>0</v>
      </c>
      <c r="L117" s="44">
        <f t="shared" si="53"/>
        <v>0</v>
      </c>
      <c r="M117" s="44">
        <f t="shared" si="53"/>
        <v>0</v>
      </c>
      <c r="N117" s="70">
        <f t="shared" si="53"/>
        <v>100</v>
      </c>
      <c r="O117" s="106">
        <f t="shared" si="53"/>
        <v>0</v>
      </c>
      <c r="P117" s="106"/>
      <c r="Q117" s="106">
        <f t="shared" si="54"/>
        <v>0</v>
      </c>
      <c r="R117" s="107">
        <f t="shared" si="54"/>
        <v>0</v>
      </c>
      <c r="S117" s="76">
        <f t="shared" si="54"/>
        <v>0</v>
      </c>
    </row>
    <row r="118" spans="1:19" ht="34.5" customHeight="1">
      <c r="A118" s="4" t="s">
        <v>16</v>
      </c>
      <c r="B118" s="5" t="s">
        <v>17</v>
      </c>
      <c r="C118" s="44">
        <v>100</v>
      </c>
      <c r="D118" s="44"/>
      <c r="E118" s="44">
        <v>100</v>
      </c>
      <c r="F118" s="5" t="s">
        <v>227</v>
      </c>
      <c r="G118" s="5" t="s">
        <v>17</v>
      </c>
      <c r="H118" s="44">
        <v>100</v>
      </c>
      <c r="I118" s="44"/>
      <c r="J118" s="44">
        <v>100</v>
      </c>
      <c r="K118" s="70"/>
      <c r="L118" s="44"/>
      <c r="M118" s="44"/>
      <c r="N118" s="70">
        <f>J118+M118</f>
        <v>100</v>
      </c>
      <c r="O118" s="106"/>
      <c r="P118" s="106"/>
      <c r="Q118" s="106"/>
      <c r="R118" s="107"/>
      <c r="S118" s="76">
        <f>100-100</f>
        <v>0</v>
      </c>
    </row>
    <row r="119" spans="1:19" ht="47.25">
      <c r="A119" s="13" t="s">
        <v>85</v>
      </c>
      <c r="B119" s="8"/>
      <c r="C119" s="43">
        <f aca="true" t="shared" si="55" ref="C119:E120">C120</f>
        <v>100</v>
      </c>
      <c r="D119" s="43">
        <f t="shared" si="55"/>
        <v>0</v>
      </c>
      <c r="E119" s="43">
        <f t="shared" si="55"/>
        <v>100</v>
      </c>
      <c r="F119" s="14" t="s">
        <v>265</v>
      </c>
      <c r="G119" s="8"/>
      <c r="H119" s="43">
        <f aca="true" t="shared" si="56" ref="H119:O120">H120</f>
        <v>100</v>
      </c>
      <c r="I119" s="43">
        <f t="shared" si="56"/>
        <v>0</v>
      </c>
      <c r="J119" s="43">
        <f t="shared" si="56"/>
        <v>100</v>
      </c>
      <c r="K119" s="69">
        <f t="shared" si="56"/>
        <v>0</v>
      </c>
      <c r="L119" s="43">
        <f t="shared" si="56"/>
        <v>0</v>
      </c>
      <c r="M119" s="43">
        <f t="shared" si="56"/>
        <v>0</v>
      </c>
      <c r="N119" s="69">
        <f t="shared" si="56"/>
        <v>100</v>
      </c>
      <c r="O119" s="104">
        <f t="shared" si="56"/>
        <v>0</v>
      </c>
      <c r="P119" s="104"/>
      <c r="Q119" s="104">
        <f aca="true" t="shared" si="57" ref="Q119:S120">Q120</f>
        <v>0</v>
      </c>
      <c r="R119" s="105">
        <f t="shared" si="57"/>
        <v>0</v>
      </c>
      <c r="S119" s="73">
        <f t="shared" si="57"/>
        <v>100</v>
      </c>
    </row>
    <row r="120" spans="1:19" ht="47.25" customHeight="1">
      <c r="A120" s="4" t="s">
        <v>86</v>
      </c>
      <c r="B120" s="8"/>
      <c r="C120" s="44">
        <f t="shared" si="55"/>
        <v>100</v>
      </c>
      <c r="D120" s="44">
        <f t="shared" si="55"/>
        <v>0</v>
      </c>
      <c r="E120" s="44">
        <f t="shared" si="55"/>
        <v>100</v>
      </c>
      <c r="F120" s="5" t="s">
        <v>228</v>
      </c>
      <c r="G120" s="8"/>
      <c r="H120" s="44">
        <f t="shared" si="56"/>
        <v>100</v>
      </c>
      <c r="I120" s="44">
        <f t="shared" si="56"/>
        <v>0</v>
      </c>
      <c r="J120" s="44">
        <f t="shared" si="56"/>
        <v>100</v>
      </c>
      <c r="K120" s="70">
        <f t="shared" si="56"/>
        <v>0</v>
      </c>
      <c r="L120" s="44">
        <f t="shared" si="56"/>
        <v>0</v>
      </c>
      <c r="M120" s="44">
        <f t="shared" si="56"/>
        <v>0</v>
      </c>
      <c r="N120" s="70">
        <f t="shared" si="56"/>
        <v>100</v>
      </c>
      <c r="O120" s="106">
        <f t="shared" si="56"/>
        <v>0</v>
      </c>
      <c r="P120" s="106"/>
      <c r="Q120" s="106">
        <f t="shared" si="57"/>
        <v>0</v>
      </c>
      <c r="R120" s="107">
        <f t="shared" si="57"/>
        <v>0</v>
      </c>
      <c r="S120" s="76">
        <f t="shared" si="57"/>
        <v>100</v>
      </c>
    </row>
    <row r="121" spans="1:19" ht="31.5">
      <c r="A121" s="22" t="s">
        <v>16</v>
      </c>
      <c r="B121" s="20" t="s">
        <v>17</v>
      </c>
      <c r="C121" s="48">
        <v>100</v>
      </c>
      <c r="D121" s="48"/>
      <c r="E121" s="44">
        <f>C121+D121</f>
        <v>100</v>
      </c>
      <c r="F121" s="20" t="s">
        <v>228</v>
      </c>
      <c r="G121" s="20" t="s">
        <v>17</v>
      </c>
      <c r="H121" s="48">
        <v>100</v>
      </c>
      <c r="I121" s="48"/>
      <c r="J121" s="44">
        <f>H121+I121</f>
        <v>100</v>
      </c>
      <c r="K121" s="70"/>
      <c r="L121" s="44"/>
      <c r="M121" s="44"/>
      <c r="N121" s="70">
        <f>J121+M121</f>
        <v>100</v>
      </c>
      <c r="O121" s="106"/>
      <c r="P121" s="106"/>
      <c r="Q121" s="106"/>
      <c r="R121" s="107"/>
      <c r="S121" s="76">
        <v>100</v>
      </c>
    </row>
    <row r="122" spans="1:19" ht="48" customHeight="1">
      <c r="A122" s="19" t="s">
        <v>384</v>
      </c>
      <c r="B122" s="18"/>
      <c r="C122" s="47"/>
      <c r="D122" s="47"/>
      <c r="E122" s="43"/>
      <c r="F122" s="18" t="s">
        <v>385</v>
      </c>
      <c r="G122" s="18"/>
      <c r="H122" s="47"/>
      <c r="I122" s="47"/>
      <c r="J122" s="43">
        <f aca="true" t="shared" si="58" ref="J122:O122">J123</f>
        <v>879</v>
      </c>
      <c r="K122" s="43">
        <f t="shared" si="58"/>
        <v>0</v>
      </c>
      <c r="L122" s="43">
        <f t="shared" si="58"/>
        <v>0</v>
      </c>
      <c r="M122" s="43">
        <f t="shared" si="58"/>
        <v>0</v>
      </c>
      <c r="N122" s="69">
        <f t="shared" si="58"/>
        <v>879</v>
      </c>
      <c r="O122" s="105">
        <f t="shared" si="58"/>
        <v>0</v>
      </c>
      <c r="P122" s="105"/>
      <c r="Q122" s="104">
        <f>Q123</f>
        <v>0</v>
      </c>
      <c r="R122" s="105">
        <f>R123</f>
        <v>0</v>
      </c>
      <c r="S122" s="73">
        <f>S123</f>
        <v>879</v>
      </c>
    </row>
    <row r="123" spans="1:19" ht="40.5" customHeight="1">
      <c r="A123" s="26" t="s">
        <v>322</v>
      </c>
      <c r="B123" s="87"/>
      <c r="C123" s="51">
        <f>C124+C125</f>
        <v>879</v>
      </c>
      <c r="D123" s="51">
        <f>D124+D125</f>
        <v>0</v>
      </c>
      <c r="E123" s="51">
        <f>E124+E125</f>
        <v>879</v>
      </c>
      <c r="F123" s="27" t="s">
        <v>229</v>
      </c>
      <c r="G123" s="87"/>
      <c r="H123" s="51">
        <f aca="true" t="shared" si="59" ref="H123:O123">H124+H125</f>
        <v>879</v>
      </c>
      <c r="I123" s="51">
        <f t="shared" si="59"/>
        <v>0</v>
      </c>
      <c r="J123" s="51">
        <f t="shared" si="59"/>
        <v>879</v>
      </c>
      <c r="K123" s="81">
        <f t="shared" si="59"/>
        <v>0</v>
      </c>
      <c r="L123" s="51">
        <f t="shared" si="59"/>
        <v>0</v>
      </c>
      <c r="M123" s="51">
        <f t="shared" si="59"/>
        <v>0</v>
      </c>
      <c r="N123" s="81">
        <f t="shared" si="59"/>
        <v>879</v>
      </c>
      <c r="O123" s="110">
        <f t="shared" si="59"/>
        <v>0</v>
      </c>
      <c r="P123" s="110"/>
      <c r="Q123" s="110">
        <f>Q124+Q125</f>
        <v>0</v>
      </c>
      <c r="R123" s="111">
        <f>R124+R125</f>
        <v>0</v>
      </c>
      <c r="S123" s="74">
        <f>S124+S125</f>
        <v>879</v>
      </c>
    </row>
    <row r="124" spans="1:19" ht="82.5" customHeight="1">
      <c r="A124" s="4" t="s">
        <v>14</v>
      </c>
      <c r="B124" s="20" t="s">
        <v>15</v>
      </c>
      <c r="C124" s="48">
        <v>545</v>
      </c>
      <c r="D124" s="48"/>
      <c r="E124" s="44">
        <f>C124+D124</f>
        <v>545</v>
      </c>
      <c r="F124" s="20" t="s">
        <v>229</v>
      </c>
      <c r="G124" s="20" t="s">
        <v>15</v>
      </c>
      <c r="H124" s="48">
        <v>545</v>
      </c>
      <c r="I124" s="48"/>
      <c r="J124" s="44">
        <f>H124+I124</f>
        <v>545</v>
      </c>
      <c r="K124" s="70"/>
      <c r="L124" s="44"/>
      <c r="M124" s="44"/>
      <c r="N124" s="70">
        <f>J124+L124</f>
        <v>545</v>
      </c>
      <c r="O124" s="106"/>
      <c r="P124" s="106"/>
      <c r="Q124" s="106"/>
      <c r="R124" s="107">
        <v>-9.6</v>
      </c>
      <c r="S124" s="76">
        <v>695.4</v>
      </c>
    </row>
    <row r="125" spans="1:19" ht="31.5">
      <c r="A125" s="4" t="s">
        <v>16</v>
      </c>
      <c r="B125" s="20" t="s">
        <v>17</v>
      </c>
      <c r="C125" s="48">
        <v>334</v>
      </c>
      <c r="D125" s="48"/>
      <c r="E125" s="44">
        <f>C125+D125</f>
        <v>334</v>
      </c>
      <c r="F125" s="20" t="s">
        <v>229</v>
      </c>
      <c r="G125" s="20" t="s">
        <v>17</v>
      </c>
      <c r="H125" s="48">
        <v>334</v>
      </c>
      <c r="I125" s="48"/>
      <c r="J125" s="44">
        <f>H125+I125</f>
        <v>334</v>
      </c>
      <c r="K125" s="70"/>
      <c r="L125" s="44"/>
      <c r="M125" s="44"/>
      <c r="N125" s="70">
        <f>J125+L125</f>
        <v>334</v>
      </c>
      <c r="O125" s="106"/>
      <c r="P125" s="106"/>
      <c r="Q125" s="106"/>
      <c r="R125" s="107">
        <v>9.6</v>
      </c>
      <c r="S125" s="76">
        <v>183.6</v>
      </c>
    </row>
    <row r="126" spans="1:19" ht="66" customHeight="1">
      <c r="A126" s="57" t="s">
        <v>323</v>
      </c>
      <c r="B126" s="60"/>
      <c r="C126" s="61">
        <f>C127</f>
        <v>1943.83</v>
      </c>
      <c r="D126" s="61">
        <f>D127</f>
        <v>0</v>
      </c>
      <c r="E126" s="61">
        <f>E127</f>
        <v>1943.83</v>
      </c>
      <c r="F126" s="60" t="s">
        <v>230</v>
      </c>
      <c r="G126" s="60"/>
      <c r="H126" s="61">
        <f aca="true" t="shared" si="60" ref="H126:O126">H127</f>
        <v>1943.83</v>
      </c>
      <c r="I126" s="61">
        <f t="shared" si="60"/>
        <v>0</v>
      </c>
      <c r="J126" s="61">
        <f t="shared" si="60"/>
        <v>1943.83</v>
      </c>
      <c r="K126" s="77">
        <f t="shared" si="60"/>
        <v>0</v>
      </c>
      <c r="L126" s="61">
        <f t="shared" si="60"/>
        <v>0</v>
      </c>
      <c r="M126" s="61">
        <f t="shared" si="60"/>
        <v>0</v>
      </c>
      <c r="N126" s="77">
        <f t="shared" si="60"/>
        <v>1943.83</v>
      </c>
      <c r="O126" s="108">
        <f t="shared" si="60"/>
        <v>0</v>
      </c>
      <c r="P126" s="108"/>
      <c r="Q126" s="108">
        <f>Q127</f>
        <v>0</v>
      </c>
      <c r="R126" s="109">
        <f>R127</f>
        <v>0</v>
      </c>
      <c r="S126" s="77">
        <f>S127+S128</f>
        <v>1943.83</v>
      </c>
    </row>
    <row r="127" spans="1:19" ht="96" customHeight="1">
      <c r="A127" s="22" t="s">
        <v>14</v>
      </c>
      <c r="B127" s="20" t="s">
        <v>15</v>
      </c>
      <c r="C127" s="48">
        <v>1943.83</v>
      </c>
      <c r="D127" s="48"/>
      <c r="E127" s="48">
        <v>1943.83</v>
      </c>
      <c r="F127" s="20" t="s">
        <v>230</v>
      </c>
      <c r="G127" s="20" t="s">
        <v>15</v>
      </c>
      <c r="H127" s="48">
        <v>1943.83</v>
      </c>
      <c r="I127" s="48"/>
      <c r="J127" s="48">
        <v>1943.83</v>
      </c>
      <c r="K127" s="76"/>
      <c r="L127" s="48"/>
      <c r="M127" s="48"/>
      <c r="N127" s="76">
        <f>J127+L127</f>
        <v>1943.83</v>
      </c>
      <c r="O127" s="106"/>
      <c r="P127" s="106"/>
      <c r="Q127" s="106"/>
      <c r="R127" s="107"/>
      <c r="S127" s="76">
        <f>1943.83-87.27</f>
        <v>1856.56</v>
      </c>
    </row>
    <row r="128" spans="1:19" ht="45" customHeight="1">
      <c r="A128" s="4" t="s">
        <v>16</v>
      </c>
      <c r="B128" s="20"/>
      <c r="C128" s="48"/>
      <c r="D128" s="48"/>
      <c r="E128" s="48"/>
      <c r="F128" s="20" t="s">
        <v>230</v>
      </c>
      <c r="G128" s="20" t="s">
        <v>17</v>
      </c>
      <c r="H128" s="48"/>
      <c r="I128" s="48"/>
      <c r="J128" s="48"/>
      <c r="K128" s="76"/>
      <c r="L128" s="48"/>
      <c r="M128" s="48"/>
      <c r="N128" s="76"/>
      <c r="O128" s="106"/>
      <c r="P128" s="106"/>
      <c r="Q128" s="106"/>
      <c r="R128" s="107"/>
      <c r="S128" s="76">
        <v>87.27</v>
      </c>
    </row>
    <row r="129" spans="1:19" ht="110.25">
      <c r="A129" s="57" t="s">
        <v>324</v>
      </c>
      <c r="B129" s="60"/>
      <c r="C129" s="61">
        <f>C130</f>
        <v>8127</v>
      </c>
      <c r="D129" s="61">
        <f>D130</f>
        <v>0</v>
      </c>
      <c r="E129" s="61">
        <f>E130</f>
        <v>8127</v>
      </c>
      <c r="F129" s="60" t="s">
        <v>231</v>
      </c>
      <c r="G129" s="60"/>
      <c r="H129" s="61">
        <f aca="true" t="shared" si="61" ref="H129:O129">H130</f>
        <v>8127</v>
      </c>
      <c r="I129" s="61">
        <f t="shared" si="61"/>
        <v>0</v>
      </c>
      <c r="J129" s="61">
        <f t="shared" si="61"/>
        <v>8127</v>
      </c>
      <c r="K129" s="77">
        <f t="shared" si="61"/>
        <v>0</v>
      </c>
      <c r="L129" s="61">
        <f t="shared" si="61"/>
        <v>0</v>
      </c>
      <c r="M129" s="61">
        <f t="shared" si="61"/>
        <v>0</v>
      </c>
      <c r="N129" s="77">
        <f t="shared" si="61"/>
        <v>8127</v>
      </c>
      <c r="O129" s="108">
        <f t="shared" si="61"/>
        <v>0</v>
      </c>
      <c r="P129" s="108"/>
      <c r="Q129" s="108">
        <f>Q130</f>
        <v>0</v>
      </c>
      <c r="R129" s="109">
        <f>R130</f>
        <v>0</v>
      </c>
      <c r="S129" s="77">
        <f>S130</f>
        <v>8127</v>
      </c>
    </row>
    <row r="130" spans="1:19" ht="31.5">
      <c r="A130" s="22" t="s">
        <v>24</v>
      </c>
      <c r="B130" s="20" t="s">
        <v>25</v>
      </c>
      <c r="C130" s="48">
        <v>8127</v>
      </c>
      <c r="D130" s="48"/>
      <c r="E130" s="44">
        <f>C130+D130</f>
        <v>8127</v>
      </c>
      <c r="F130" s="20" t="s">
        <v>231</v>
      </c>
      <c r="G130" s="20" t="s">
        <v>25</v>
      </c>
      <c r="H130" s="48">
        <v>8127</v>
      </c>
      <c r="I130" s="48"/>
      <c r="J130" s="44">
        <f>H130+I130</f>
        <v>8127</v>
      </c>
      <c r="K130" s="70"/>
      <c r="L130" s="44"/>
      <c r="M130" s="44"/>
      <c r="N130" s="70">
        <f>J130+L130</f>
        <v>8127</v>
      </c>
      <c r="O130" s="106"/>
      <c r="P130" s="106"/>
      <c r="Q130" s="106"/>
      <c r="R130" s="107"/>
      <c r="S130" s="76">
        <v>8127</v>
      </c>
    </row>
    <row r="131" spans="1:19" ht="63">
      <c r="A131" s="15" t="s">
        <v>87</v>
      </c>
      <c r="B131" s="16"/>
      <c r="C131" s="46">
        <f>C132+C136</f>
        <v>3673.874</v>
      </c>
      <c r="D131" s="46">
        <f>D132+D136</f>
        <v>114.206</v>
      </c>
      <c r="E131" s="46">
        <f>E132+E136</f>
        <v>3788.08</v>
      </c>
      <c r="F131" s="16" t="s">
        <v>232</v>
      </c>
      <c r="G131" s="16"/>
      <c r="H131" s="46">
        <f aca="true" t="shared" si="62" ref="H131:O131">H132+H136</f>
        <v>3673.874</v>
      </c>
      <c r="I131" s="46">
        <f t="shared" si="62"/>
        <v>114.206</v>
      </c>
      <c r="J131" s="46">
        <f t="shared" si="62"/>
        <v>3788.08</v>
      </c>
      <c r="K131" s="71">
        <f t="shared" si="62"/>
        <v>0</v>
      </c>
      <c r="L131" s="46">
        <f t="shared" si="62"/>
        <v>0</v>
      </c>
      <c r="M131" s="46">
        <f t="shared" si="62"/>
        <v>0</v>
      </c>
      <c r="N131" s="71">
        <f t="shared" si="62"/>
        <v>3788.08</v>
      </c>
      <c r="O131" s="100">
        <f t="shared" si="62"/>
        <v>0</v>
      </c>
      <c r="P131" s="100"/>
      <c r="Q131" s="100">
        <f>Q132+Q136</f>
        <v>0</v>
      </c>
      <c r="R131" s="101">
        <f>R132+R136</f>
        <v>0</v>
      </c>
      <c r="S131" s="71">
        <f>S132+S134+S136</f>
        <v>3788.08</v>
      </c>
    </row>
    <row r="132" spans="1:19" ht="35.25" customHeight="1">
      <c r="A132" s="57" t="s">
        <v>325</v>
      </c>
      <c r="B132" s="60"/>
      <c r="C132" s="61">
        <f>C133</f>
        <v>3412.594</v>
      </c>
      <c r="D132" s="61">
        <f>D133</f>
        <v>114.206</v>
      </c>
      <c r="E132" s="61">
        <f>E133</f>
        <v>3526.8</v>
      </c>
      <c r="F132" s="60" t="s">
        <v>233</v>
      </c>
      <c r="G132" s="60"/>
      <c r="H132" s="61">
        <f aca="true" t="shared" si="63" ref="H132:O132">H133</f>
        <v>3412.594</v>
      </c>
      <c r="I132" s="61">
        <f t="shared" si="63"/>
        <v>114.206</v>
      </c>
      <c r="J132" s="61">
        <f t="shared" si="63"/>
        <v>3526.8</v>
      </c>
      <c r="K132" s="77">
        <f t="shared" si="63"/>
        <v>0</v>
      </c>
      <c r="L132" s="61">
        <f t="shared" si="63"/>
        <v>0</v>
      </c>
      <c r="M132" s="61">
        <f t="shared" si="63"/>
        <v>0</v>
      </c>
      <c r="N132" s="77">
        <f t="shared" si="63"/>
        <v>3526.8</v>
      </c>
      <c r="O132" s="108">
        <f t="shared" si="63"/>
        <v>0</v>
      </c>
      <c r="P132" s="108"/>
      <c r="Q132" s="108">
        <f>Q133+Q134</f>
        <v>0</v>
      </c>
      <c r="R132" s="109">
        <f>R133+R134</f>
        <v>0</v>
      </c>
      <c r="S132" s="77">
        <f>S133</f>
        <v>3276.8</v>
      </c>
    </row>
    <row r="133" spans="1:19" ht="47.25">
      <c r="A133" s="22" t="s">
        <v>69</v>
      </c>
      <c r="B133" s="20" t="s">
        <v>13</v>
      </c>
      <c r="C133" s="48">
        <v>3412.594</v>
      </c>
      <c r="D133" s="48">
        <v>114.206</v>
      </c>
      <c r="E133" s="44">
        <f>C133+D133</f>
        <v>3526.8</v>
      </c>
      <c r="F133" s="20" t="s">
        <v>233</v>
      </c>
      <c r="G133" s="20" t="s">
        <v>13</v>
      </c>
      <c r="H133" s="48">
        <v>3412.594</v>
      </c>
      <c r="I133" s="48">
        <v>114.206</v>
      </c>
      <c r="J133" s="44">
        <f>H133+I133</f>
        <v>3526.8</v>
      </c>
      <c r="K133" s="70"/>
      <c r="L133" s="44"/>
      <c r="M133" s="44"/>
      <c r="N133" s="70">
        <f>J133+L133</f>
        <v>3526.8</v>
      </c>
      <c r="O133" s="106"/>
      <c r="P133" s="106"/>
      <c r="Q133" s="106">
        <v>-250</v>
      </c>
      <c r="R133" s="107"/>
      <c r="S133" s="76">
        <v>3276.8</v>
      </c>
    </row>
    <row r="134" spans="1:19" ht="63">
      <c r="A134" s="19" t="s">
        <v>406</v>
      </c>
      <c r="B134" s="18"/>
      <c r="C134" s="47"/>
      <c r="D134" s="47"/>
      <c r="E134" s="43"/>
      <c r="F134" s="18" t="s">
        <v>407</v>
      </c>
      <c r="G134" s="18"/>
      <c r="H134" s="47"/>
      <c r="I134" s="47"/>
      <c r="J134" s="43"/>
      <c r="K134" s="69"/>
      <c r="L134" s="43"/>
      <c r="M134" s="43"/>
      <c r="N134" s="69"/>
      <c r="O134" s="104"/>
      <c r="P134" s="104"/>
      <c r="Q134" s="104">
        <v>250</v>
      </c>
      <c r="R134" s="105"/>
      <c r="S134" s="73">
        <f>S135</f>
        <v>250</v>
      </c>
    </row>
    <row r="135" spans="1:19" ht="47.25">
      <c r="A135" s="22" t="s">
        <v>69</v>
      </c>
      <c r="B135" s="20"/>
      <c r="C135" s="48"/>
      <c r="D135" s="48"/>
      <c r="E135" s="44"/>
      <c r="F135" s="20" t="s">
        <v>407</v>
      </c>
      <c r="G135" s="20" t="s">
        <v>13</v>
      </c>
      <c r="H135" s="48"/>
      <c r="I135" s="48"/>
      <c r="J135" s="44"/>
      <c r="K135" s="70"/>
      <c r="L135" s="44"/>
      <c r="M135" s="44"/>
      <c r="N135" s="70"/>
      <c r="O135" s="106"/>
      <c r="P135" s="106"/>
      <c r="Q135" s="70">
        <v>250</v>
      </c>
      <c r="R135" s="107"/>
      <c r="S135" s="76">
        <v>250</v>
      </c>
    </row>
    <row r="136" spans="1:19" ht="50.25" customHeight="1">
      <c r="A136" s="57" t="s">
        <v>326</v>
      </c>
      <c r="B136" s="60"/>
      <c r="C136" s="61">
        <f>C137</f>
        <v>261.28</v>
      </c>
      <c r="D136" s="61">
        <f>D137</f>
        <v>0</v>
      </c>
      <c r="E136" s="61">
        <f>E137</f>
        <v>261.28</v>
      </c>
      <c r="F136" s="60" t="s">
        <v>234</v>
      </c>
      <c r="G136" s="60"/>
      <c r="H136" s="61">
        <f aca="true" t="shared" si="64" ref="H136:O136">H137</f>
        <v>261.28</v>
      </c>
      <c r="I136" s="61">
        <f t="shared" si="64"/>
        <v>0</v>
      </c>
      <c r="J136" s="61">
        <f t="shared" si="64"/>
        <v>261.28</v>
      </c>
      <c r="K136" s="77">
        <f t="shared" si="64"/>
        <v>0</v>
      </c>
      <c r="L136" s="61">
        <f t="shared" si="64"/>
        <v>0</v>
      </c>
      <c r="M136" s="61">
        <f t="shared" si="64"/>
        <v>0</v>
      </c>
      <c r="N136" s="77">
        <f t="shared" si="64"/>
        <v>261.28</v>
      </c>
      <c r="O136" s="108">
        <f t="shared" si="64"/>
        <v>0</v>
      </c>
      <c r="P136" s="108"/>
      <c r="Q136" s="108">
        <f>Q137</f>
        <v>0</v>
      </c>
      <c r="R136" s="109">
        <f>R137</f>
        <v>0</v>
      </c>
      <c r="S136" s="77">
        <f>S137+S138</f>
        <v>261.28</v>
      </c>
    </row>
    <row r="137" spans="1:19" ht="93.75" customHeight="1">
      <c r="A137" s="22" t="s">
        <v>14</v>
      </c>
      <c r="B137" s="20" t="s">
        <v>15</v>
      </c>
      <c r="C137" s="48">
        <v>261.28</v>
      </c>
      <c r="D137" s="48"/>
      <c r="E137" s="44">
        <f>C137+D137</f>
        <v>261.28</v>
      </c>
      <c r="F137" s="20" t="s">
        <v>234</v>
      </c>
      <c r="G137" s="20" t="s">
        <v>15</v>
      </c>
      <c r="H137" s="48">
        <v>261.28</v>
      </c>
      <c r="I137" s="48"/>
      <c r="J137" s="44">
        <f>H137+I137</f>
        <v>261.28</v>
      </c>
      <c r="K137" s="70"/>
      <c r="L137" s="44"/>
      <c r="M137" s="44"/>
      <c r="N137" s="70">
        <f>J137+L137</f>
        <v>261.28</v>
      </c>
      <c r="O137" s="106"/>
      <c r="P137" s="106"/>
      <c r="Q137" s="106"/>
      <c r="R137" s="107"/>
      <c r="S137" s="76">
        <f>261.28-173.68</f>
        <v>87.59999999999997</v>
      </c>
    </row>
    <row r="138" spans="1:19" ht="43.5" customHeight="1">
      <c r="A138" s="4" t="s">
        <v>16</v>
      </c>
      <c r="B138" s="20"/>
      <c r="C138" s="48"/>
      <c r="D138" s="48"/>
      <c r="E138" s="44"/>
      <c r="F138" s="20" t="s">
        <v>234</v>
      </c>
      <c r="G138" s="20" t="s">
        <v>17</v>
      </c>
      <c r="H138" s="48"/>
      <c r="I138" s="48"/>
      <c r="J138" s="44"/>
      <c r="K138" s="70"/>
      <c r="L138" s="44"/>
      <c r="M138" s="44"/>
      <c r="N138" s="70"/>
      <c r="O138" s="106"/>
      <c r="P138" s="106"/>
      <c r="Q138" s="106"/>
      <c r="R138" s="107"/>
      <c r="S138" s="76">
        <v>173.68</v>
      </c>
    </row>
    <row r="139" spans="1:19" ht="31.5">
      <c r="A139" s="17" t="s">
        <v>28</v>
      </c>
      <c r="B139" s="21"/>
      <c r="C139" s="49">
        <f>C140+C144+C147</f>
        <v>7627.43</v>
      </c>
      <c r="D139" s="49">
        <f>D140+D144+D147</f>
        <v>0</v>
      </c>
      <c r="E139" s="49">
        <f>E140+E144+E147</f>
        <v>7627.43</v>
      </c>
      <c r="F139" s="21" t="s">
        <v>235</v>
      </c>
      <c r="G139" s="21"/>
      <c r="H139" s="49">
        <f aca="true" t="shared" si="65" ref="H139:O139">H140+H144+H147</f>
        <v>7627.43</v>
      </c>
      <c r="I139" s="49">
        <f t="shared" si="65"/>
        <v>0</v>
      </c>
      <c r="J139" s="49">
        <f t="shared" si="65"/>
        <v>7627.43</v>
      </c>
      <c r="K139" s="75">
        <f t="shared" si="65"/>
        <v>0</v>
      </c>
      <c r="L139" s="49">
        <f t="shared" si="65"/>
        <v>0</v>
      </c>
      <c r="M139" s="49">
        <f t="shared" si="65"/>
        <v>0</v>
      </c>
      <c r="N139" s="75">
        <f t="shared" si="65"/>
        <v>7627.43</v>
      </c>
      <c r="O139" s="102">
        <f t="shared" si="65"/>
        <v>0</v>
      </c>
      <c r="P139" s="102"/>
      <c r="Q139" s="102">
        <f>Q140+Q144+Q147</f>
        <v>0</v>
      </c>
      <c r="R139" s="103">
        <f>R140+R144+R147</f>
        <v>2.5579538487363607E-13</v>
      </c>
      <c r="S139" s="75">
        <f>S140+S144+S147</f>
        <v>7627.43</v>
      </c>
    </row>
    <row r="140" spans="1:19" ht="67.5" customHeight="1">
      <c r="A140" s="19" t="s">
        <v>88</v>
      </c>
      <c r="B140" s="18"/>
      <c r="C140" s="47">
        <f aca="true" t="shared" si="66" ref="C140:E141">C141</f>
        <v>3000</v>
      </c>
      <c r="D140" s="47">
        <f t="shared" si="66"/>
        <v>0</v>
      </c>
      <c r="E140" s="47">
        <f t="shared" si="66"/>
        <v>3000</v>
      </c>
      <c r="F140" s="18" t="s">
        <v>239</v>
      </c>
      <c r="G140" s="18"/>
      <c r="H140" s="47">
        <f aca="true" t="shared" si="67" ref="H140:O141">H141</f>
        <v>3000</v>
      </c>
      <c r="I140" s="47">
        <f t="shared" si="67"/>
        <v>0</v>
      </c>
      <c r="J140" s="47">
        <f t="shared" si="67"/>
        <v>3000</v>
      </c>
      <c r="K140" s="73">
        <f t="shared" si="67"/>
        <v>0</v>
      </c>
      <c r="L140" s="47">
        <f t="shared" si="67"/>
        <v>0</v>
      </c>
      <c r="M140" s="47">
        <f t="shared" si="67"/>
        <v>0</v>
      </c>
      <c r="N140" s="73">
        <f t="shared" si="67"/>
        <v>3000</v>
      </c>
      <c r="O140" s="104">
        <f t="shared" si="67"/>
        <v>0</v>
      </c>
      <c r="P140" s="104"/>
      <c r="Q140" s="104">
        <f>Q141</f>
        <v>0</v>
      </c>
      <c r="R140" s="105">
        <f>R141</f>
        <v>-141.52999999999975</v>
      </c>
      <c r="S140" s="73">
        <f>S141</f>
        <v>2858.4700000000003</v>
      </c>
    </row>
    <row r="141" spans="1:19" ht="15.75">
      <c r="A141" s="62" t="s">
        <v>327</v>
      </c>
      <c r="B141" s="58"/>
      <c r="C141" s="59">
        <f t="shared" si="66"/>
        <v>3000</v>
      </c>
      <c r="D141" s="59">
        <f t="shared" si="66"/>
        <v>0</v>
      </c>
      <c r="E141" s="59">
        <f t="shared" si="66"/>
        <v>3000</v>
      </c>
      <c r="F141" s="58" t="s">
        <v>236</v>
      </c>
      <c r="G141" s="58"/>
      <c r="H141" s="59">
        <f t="shared" si="67"/>
        <v>3000</v>
      </c>
      <c r="I141" s="59">
        <f t="shared" si="67"/>
        <v>0</v>
      </c>
      <c r="J141" s="59">
        <f t="shared" si="67"/>
        <v>3000</v>
      </c>
      <c r="K141" s="74">
        <f t="shared" si="67"/>
        <v>0</v>
      </c>
      <c r="L141" s="59">
        <f t="shared" si="67"/>
        <v>0</v>
      </c>
      <c r="M141" s="59">
        <f t="shared" si="67"/>
        <v>0</v>
      </c>
      <c r="N141" s="74">
        <f t="shared" si="67"/>
        <v>3000</v>
      </c>
      <c r="O141" s="110">
        <f t="shared" si="67"/>
        <v>0</v>
      </c>
      <c r="P141" s="110"/>
      <c r="Q141" s="110">
        <f>Q142</f>
        <v>0</v>
      </c>
      <c r="R141" s="111">
        <f>R142+R143</f>
        <v>-141.52999999999975</v>
      </c>
      <c r="S141" s="74">
        <f>S142+S143</f>
        <v>2858.4700000000003</v>
      </c>
    </row>
    <row r="142" spans="1:19" ht="31.5">
      <c r="A142" s="22" t="s">
        <v>24</v>
      </c>
      <c r="B142" s="20" t="s">
        <v>17</v>
      </c>
      <c r="C142" s="48">
        <v>3000</v>
      </c>
      <c r="D142" s="48"/>
      <c r="E142" s="44">
        <f>C142+D142</f>
        <v>3000</v>
      </c>
      <c r="F142" s="20" t="s">
        <v>236</v>
      </c>
      <c r="G142" s="20" t="s">
        <v>25</v>
      </c>
      <c r="H142" s="48">
        <v>3000</v>
      </c>
      <c r="I142" s="48"/>
      <c r="J142" s="44">
        <f>H142+I142</f>
        <v>3000</v>
      </c>
      <c r="K142" s="70"/>
      <c r="L142" s="44"/>
      <c r="M142" s="44"/>
      <c r="N142" s="70">
        <f>J142+M142</f>
        <v>3000</v>
      </c>
      <c r="O142" s="106"/>
      <c r="P142" s="106"/>
      <c r="Q142" s="106"/>
      <c r="R142" s="44">
        <v>-2422.54</v>
      </c>
      <c r="S142" s="76">
        <v>577.46</v>
      </c>
    </row>
    <row r="143" spans="1:19" ht="47.25">
      <c r="A143" s="22" t="s">
        <v>69</v>
      </c>
      <c r="B143" s="20"/>
      <c r="C143" s="48"/>
      <c r="D143" s="48"/>
      <c r="E143" s="44"/>
      <c r="F143" s="20" t="s">
        <v>236</v>
      </c>
      <c r="G143" s="20" t="s">
        <v>13</v>
      </c>
      <c r="H143" s="48"/>
      <c r="I143" s="48"/>
      <c r="J143" s="44"/>
      <c r="K143" s="70"/>
      <c r="L143" s="44"/>
      <c r="M143" s="44"/>
      <c r="N143" s="70"/>
      <c r="O143" s="106"/>
      <c r="P143" s="106"/>
      <c r="Q143" s="106"/>
      <c r="R143" s="44">
        <v>2281.01</v>
      </c>
      <c r="S143" s="76">
        <v>2281.01</v>
      </c>
    </row>
    <row r="144" spans="1:19" ht="47.25">
      <c r="A144" s="57" t="s">
        <v>328</v>
      </c>
      <c r="B144" s="60"/>
      <c r="C144" s="61">
        <f>C145</f>
        <v>2856.28</v>
      </c>
      <c r="D144" s="61">
        <f>D145</f>
        <v>0</v>
      </c>
      <c r="E144" s="61">
        <f>E145</f>
        <v>2856.28</v>
      </c>
      <c r="F144" s="60" t="s">
        <v>408</v>
      </c>
      <c r="G144" s="60"/>
      <c r="H144" s="61">
        <f aca="true" t="shared" si="68" ref="H144:O144">H145</f>
        <v>2856.28</v>
      </c>
      <c r="I144" s="61">
        <f t="shared" si="68"/>
        <v>0</v>
      </c>
      <c r="J144" s="61">
        <f t="shared" si="68"/>
        <v>2856.28</v>
      </c>
      <c r="K144" s="77">
        <f t="shared" si="68"/>
        <v>0</v>
      </c>
      <c r="L144" s="61">
        <f t="shared" si="68"/>
        <v>0</v>
      </c>
      <c r="M144" s="61">
        <f t="shared" si="68"/>
        <v>0</v>
      </c>
      <c r="N144" s="77">
        <f t="shared" si="68"/>
        <v>2856.28</v>
      </c>
      <c r="O144" s="108">
        <f t="shared" si="68"/>
        <v>0</v>
      </c>
      <c r="P144" s="108"/>
      <c r="Q144" s="108">
        <f>Q145+Q146</f>
        <v>0</v>
      </c>
      <c r="R144" s="108">
        <f>R145+R146</f>
        <v>0</v>
      </c>
      <c r="S144" s="77">
        <f>S145+S146</f>
        <v>2856.2799999999997</v>
      </c>
    </row>
    <row r="145" spans="1:19" ht="31.5">
      <c r="A145" s="22" t="s">
        <v>24</v>
      </c>
      <c r="B145" s="20" t="s">
        <v>25</v>
      </c>
      <c r="C145" s="48">
        <v>2856.28</v>
      </c>
      <c r="D145" s="48"/>
      <c r="E145" s="44">
        <f>C145+D145</f>
        <v>2856.28</v>
      </c>
      <c r="F145" s="20" t="s">
        <v>408</v>
      </c>
      <c r="G145" s="20" t="s">
        <v>25</v>
      </c>
      <c r="H145" s="48">
        <v>2856.28</v>
      </c>
      <c r="I145" s="48"/>
      <c r="J145" s="44">
        <f>H145+I145</f>
        <v>2856.28</v>
      </c>
      <c r="K145" s="70"/>
      <c r="L145" s="44"/>
      <c r="M145" s="44"/>
      <c r="N145" s="70">
        <f>J145+L145</f>
        <v>2856.28</v>
      </c>
      <c r="O145" s="106"/>
      <c r="P145" s="106"/>
      <c r="Q145" s="70">
        <v>-1766.52</v>
      </c>
      <c r="R145" s="107"/>
      <c r="S145" s="76">
        <v>1089.76</v>
      </c>
    </row>
    <row r="146" spans="1:19" ht="47.25">
      <c r="A146" s="22" t="s">
        <v>69</v>
      </c>
      <c r="B146" s="20"/>
      <c r="C146" s="48"/>
      <c r="D146" s="48"/>
      <c r="E146" s="44"/>
      <c r="F146" s="20" t="s">
        <v>408</v>
      </c>
      <c r="G146" s="20" t="s">
        <v>13</v>
      </c>
      <c r="H146" s="48"/>
      <c r="I146" s="48"/>
      <c r="J146" s="44"/>
      <c r="K146" s="70"/>
      <c r="L146" s="44"/>
      <c r="M146" s="44"/>
      <c r="N146" s="70"/>
      <c r="O146" s="106"/>
      <c r="P146" s="106"/>
      <c r="Q146" s="70">
        <v>1766.52</v>
      </c>
      <c r="R146" s="107"/>
      <c r="S146" s="76">
        <v>1766.52</v>
      </c>
    </row>
    <row r="147" spans="1:19" ht="63">
      <c r="A147" s="57" t="s">
        <v>329</v>
      </c>
      <c r="B147" s="60"/>
      <c r="C147" s="61">
        <f>C148</f>
        <v>1771.15</v>
      </c>
      <c r="D147" s="61">
        <f>D148</f>
        <v>0</v>
      </c>
      <c r="E147" s="61">
        <f>E148</f>
        <v>1771.15</v>
      </c>
      <c r="F147" s="60" t="s">
        <v>386</v>
      </c>
      <c r="G147" s="60"/>
      <c r="H147" s="61">
        <f aca="true" t="shared" si="69" ref="H147:O147">H148</f>
        <v>1771.15</v>
      </c>
      <c r="I147" s="61">
        <f t="shared" si="69"/>
        <v>0</v>
      </c>
      <c r="J147" s="61">
        <f t="shared" si="69"/>
        <v>1771.15</v>
      </c>
      <c r="K147" s="77">
        <f t="shared" si="69"/>
        <v>0</v>
      </c>
      <c r="L147" s="61">
        <f t="shared" si="69"/>
        <v>0</v>
      </c>
      <c r="M147" s="61">
        <f t="shared" si="69"/>
        <v>0</v>
      </c>
      <c r="N147" s="77">
        <f t="shared" si="69"/>
        <v>1771.15</v>
      </c>
      <c r="O147" s="108">
        <f t="shared" si="69"/>
        <v>0</v>
      </c>
      <c r="P147" s="108"/>
      <c r="Q147" s="108">
        <f>Q148</f>
        <v>0</v>
      </c>
      <c r="R147" s="109">
        <f>R148</f>
        <v>141.53</v>
      </c>
      <c r="S147" s="77">
        <f>S148</f>
        <v>1912.68</v>
      </c>
    </row>
    <row r="148" spans="1:19" ht="47.25">
      <c r="A148" s="22" t="s">
        <v>69</v>
      </c>
      <c r="B148" s="20" t="s">
        <v>25</v>
      </c>
      <c r="C148" s="48">
        <v>1771.15</v>
      </c>
      <c r="D148" s="48"/>
      <c r="E148" s="44">
        <f>C148+D148</f>
        <v>1771.15</v>
      </c>
      <c r="F148" s="20" t="s">
        <v>386</v>
      </c>
      <c r="G148" s="20" t="s">
        <v>13</v>
      </c>
      <c r="H148" s="48">
        <v>1771.15</v>
      </c>
      <c r="I148" s="48"/>
      <c r="J148" s="44">
        <f>H148+I148</f>
        <v>1771.15</v>
      </c>
      <c r="K148" s="70"/>
      <c r="L148" s="44"/>
      <c r="M148" s="44"/>
      <c r="N148" s="70">
        <f>J148+L148</f>
        <v>1771.15</v>
      </c>
      <c r="O148" s="106"/>
      <c r="P148" s="106"/>
      <c r="Q148" s="106"/>
      <c r="R148" s="107">
        <v>141.53</v>
      </c>
      <c r="S148" s="76">
        <v>1912.68</v>
      </c>
    </row>
    <row r="149" spans="1:19" ht="15.75">
      <c r="A149" s="17" t="s">
        <v>2</v>
      </c>
      <c r="B149" s="21"/>
      <c r="C149" s="49">
        <f aca="true" t="shared" si="70" ref="C149:E151">C150</f>
        <v>100</v>
      </c>
      <c r="D149" s="49">
        <f t="shared" si="70"/>
        <v>0</v>
      </c>
      <c r="E149" s="49">
        <f t="shared" si="70"/>
        <v>100</v>
      </c>
      <c r="F149" s="21" t="s">
        <v>237</v>
      </c>
      <c r="G149" s="21"/>
      <c r="H149" s="49">
        <f aca="true" t="shared" si="71" ref="H149:O151">H150</f>
        <v>100</v>
      </c>
      <c r="I149" s="49">
        <f t="shared" si="71"/>
        <v>0</v>
      </c>
      <c r="J149" s="49">
        <f t="shared" si="71"/>
        <v>100</v>
      </c>
      <c r="K149" s="75">
        <f t="shared" si="71"/>
        <v>0</v>
      </c>
      <c r="L149" s="49">
        <f t="shared" si="71"/>
        <v>0</v>
      </c>
      <c r="M149" s="49">
        <f t="shared" si="71"/>
        <v>0</v>
      </c>
      <c r="N149" s="75">
        <f t="shared" si="71"/>
        <v>100</v>
      </c>
      <c r="O149" s="102">
        <f t="shared" si="71"/>
        <v>0</v>
      </c>
      <c r="P149" s="102"/>
      <c r="Q149" s="102">
        <f aca="true" t="shared" si="72" ref="Q149:S151">Q150</f>
        <v>0</v>
      </c>
      <c r="R149" s="103">
        <f t="shared" si="72"/>
        <v>0</v>
      </c>
      <c r="S149" s="75">
        <f>S150</f>
        <v>100</v>
      </c>
    </row>
    <row r="150" spans="1:19" ht="66" customHeight="1">
      <c r="A150" s="19" t="s">
        <v>90</v>
      </c>
      <c r="B150" s="18"/>
      <c r="C150" s="47">
        <f t="shared" si="70"/>
        <v>100</v>
      </c>
      <c r="D150" s="47">
        <f t="shared" si="70"/>
        <v>0</v>
      </c>
      <c r="E150" s="47">
        <f t="shared" si="70"/>
        <v>100</v>
      </c>
      <c r="F150" s="18" t="s">
        <v>240</v>
      </c>
      <c r="G150" s="18"/>
      <c r="H150" s="47">
        <f t="shared" si="71"/>
        <v>100</v>
      </c>
      <c r="I150" s="47">
        <f t="shared" si="71"/>
        <v>0</v>
      </c>
      <c r="J150" s="47">
        <f t="shared" si="71"/>
        <v>100</v>
      </c>
      <c r="K150" s="73">
        <f t="shared" si="71"/>
        <v>0</v>
      </c>
      <c r="L150" s="47">
        <f t="shared" si="71"/>
        <v>0</v>
      </c>
      <c r="M150" s="47">
        <f t="shared" si="71"/>
        <v>0</v>
      </c>
      <c r="N150" s="73">
        <f t="shared" si="71"/>
        <v>100</v>
      </c>
      <c r="O150" s="104">
        <f t="shared" si="71"/>
        <v>0</v>
      </c>
      <c r="P150" s="104"/>
      <c r="Q150" s="104">
        <f t="shared" si="72"/>
        <v>0</v>
      </c>
      <c r="R150" s="105">
        <f t="shared" si="72"/>
        <v>0</v>
      </c>
      <c r="S150" s="73">
        <f t="shared" si="72"/>
        <v>100</v>
      </c>
    </row>
    <row r="151" spans="1:19" ht="31.5">
      <c r="A151" s="22" t="s">
        <v>91</v>
      </c>
      <c r="B151" s="20"/>
      <c r="C151" s="48">
        <f t="shared" si="70"/>
        <v>100</v>
      </c>
      <c r="D151" s="48">
        <f t="shared" si="70"/>
        <v>0</v>
      </c>
      <c r="E151" s="48">
        <f t="shared" si="70"/>
        <v>100</v>
      </c>
      <c r="F151" s="20" t="s">
        <v>238</v>
      </c>
      <c r="G151" s="20"/>
      <c r="H151" s="48">
        <f t="shared" si="71"/>
        <v>100</v>
      </c>
      <c r="I151" s="48">
        <f t="shared" si="71"/>
        <v>0</v>
      </c>
      <c r="J151" s="48">
        <f t="shared" si="71"/>
        <v>100</v>
      </c>
      <c r="K151" s="76">
        <f t="shared" si="71"/>
        <v>0</v>
      </c>
      <c r="L151" s="48">
        <f t="shared" si="71"/>
        <v>0</v>
      </c>
      <c r="M151" s="48">
        <f t="shared" si="71"/>
        <v>0</v>
      </c>
      <c r="N151" s="76">
        <f t="shared" si="71"/>
        <v>100</v>
      </c>
      <c r="O151" s="106">
        <f t="shared" si="71"/>
        <v>0</v>
      </c>
      <c r="P151" s="106"/>
      <c r="Q151" s="106">
        <f t="shared" si="72"/>
        <v>0</v>
      </c>
      <c r="R151" s="107">
        <f t="shared" si="72"/>
        <v>0</v>
      </c>
      <c r="S151" s="76">
        <f t="shared" si="72"/>
        <v>100</v>
      </c>
    </row>
    <row r="152" spans="1:19" ht="31.5">
      <c r="A152" s="22" t="s">
        <v>16</v>
      </c>
      <c r="B152" s="20" t="s">
        <v>17</v>
      </c>
      <c r="C152" s="48">
        <v>100</v>
      </c>
      <c r="D152" s="48"/>
      <c r="E152" s="44">
        <f>C152+D152</f>
        <v>100</v>
      </c>
      <c r="F152" s="20" t="s">
        <v>238</v>
      </c>
      <c r="G152" s="20" t="s">
        <v>17</v>
      </c>
      <c r="H152" s="48">
        <v>100</v>
      </c>
      <c r="I152" s="48"/>
      <c r="J152" s="44">
        <f>H152+I152</f>
        <v>100</v>
      </c>
      <c r="K152" s="70"/>
      <c r="L152" s="44"/>
      <c r="M152" s="44"/>
      <c r="N152" s="70">
        <f>J152+M152</f>
        <v>100</v>
      </c>
      <c r="O152" s="106"/>
      <c r="P152" s="106"/>
      <c r="Q152" s="106"/>
      <c r="R152" s="107"/>
      <c r="S152" s="76">
        <v>100</v>
      </c>
    </row>
    <row r="153" spans="1:19" ht="31.5">
      <c r="A153" s="17" t="s">
        <v>61</v>
      </c>
      <c r="B153" s="21"/>
      <c r="C153" s="49">
        <f>C154+C157</f>
        <v>2287.15</v>
      </c>
      <c r="D153" s="49">
        <f>D154+D157</f>
        <v>0</v>
      </c>
      <c r="E153" s="49">
        <f>E154+E157</f>
        <v>2287.15</v>
      </c>
      <c r="F153" s="21" t="s">
        <v>241</v>
      </c>
      <c r="G153" s="21"/>
      <c r="H153" s="49">
        <f aca="true" t="shared" si="73" ref="H153:O153">H154+H157</f>
        <v>2287.15</v>
      </c>
      <c r="I153" s="49">
        <f t="shared" si="73"/>
        <v>0</v>
      </c>
      <c r="J153" s="49">
        <f t="shared" si="73"/>
        <v>2287.15</v>
      </c>
      <c r="K153" s="75">
        <f t="shared" si="73"/>
        <v>0</v>
      </c>
      <c r="L153" s="49">
        <f t="shared" si="73"/>
        <v>0</v>
      </c>
      <c r="M153" s="49">
        <f t="shared" si="73"/>
        <v>0</v>
      </c>
      <c r="N153" s="75">
        <f t="shared" si="73"/>
        <v>2287.15</v>
      </c>
      <c r="O153" s="102">
        <f t="shared" si="73"/>
        <v>0</v>
      </c>
      <c r="P153" s="102"/>
      <c r="Q153" s="102">
        <f>Q154+Q157</f>
        <v>0</v>
      </c>
      <c r="R153" s="103">
        <f>R154+R157</f>
        <v>0</v>
      </c>
      <c r="S153" s="75">
        <f>S154+S157</f>
        <v>2287.15</v>
      </c>
    </row>
    <row r="154" spans="1:19" ht="31.5">
      <c r="A154" s="19" t="s">
        <v>93</v>
      </c>
      <c r="B154" s="18"/>
      <c r="C154" s="47">
        <f aca="true" t="shared" si="74" ref="C154:E155">C155</f>
        <v>580.6</v>
      </c>
      <c r="D154" s="47">
        <f t="shared" si="74"/>
        <v>0</v>
      </c>
      <c r="E154" s="47">
        <f t="shared" si="74"/>
        <v>580.6</v>
      </c>
      <c r="F154" s="18" t="s">
        <v>242</v>
      </c>
      <c r="G154" s="18"/>
      <c r="H154" s="47">
        <f aca="true" t="shared" si="75" ref="H154:O155">H155</f>
        <v>580.6</v>
      </c>
      <c r="I154" s="47">
        <f t="shared" si="75"/>
        <v>0</v>
      </c>
      <c r="J154" s="47">
        <f t="shared" si="75"/>
        <v>580.6</v>
      </c>
      <c r="K154" s="73">
        <f t="shared" si="75"/>
        <v>0</v>
      </c>
      <c r="L154" s="47">
        <f t="shared" si="75"/>
        <v>0</v>
      </c>
      <c r="M154" s="47">
        <f t="shared" si="75"/>
        <v>0</v>
      </c>
      <c r="N154" s="73">
        <f t="shared" si="75"/>
        <v>580.6</v>
      </c>
      <c r="O154" s="104">
        <f t="shared" si="75"/>
        <v>0</v>
      </c>
      <c r="P154" s="104"/>
      <c r="Q154" s="104">
        <f aca="true" t="shared" si="76" ref="Q154:S155">Q155</f>
        <v>0</v>
      </c>
      <c r="R154" s="105">
        <f t="shared" si="76"/>
        <v>0</v>
      </c>
      <c r="S154" s="73">
        <f t="shared" si="76"/>
        <v>580.6</v>
      </c>
    </row>
    <row r="155" spans="1:19" ht="15.75">
      <c r="A155" s="22" t="s">
        <v>94</v>
      </c>
      <c r="B155" s="20"/>
      <c r="C155" s="48">
        <f t="shared" si="74"/>
        <v>580.6</v>
      </c>
      <c r="D155" s="48">
        <f t="shared" si="74"/>
        <v>0</v>
      </c>
      <c r="E155" s="48">
        <f t="shared" si="74"/>
        <v>580.6</v>
      </c>
      <c r="F155" s="20" t="s">
        <v>243</v>
      </c>
      <c r="G155" s="20"/>
      <c r="H155" s="48">
        <f t="shared" si="75"/>
        <v>580.6</v>
      </c>
      <c r="I155" s="48">
        <f t="shared" si="75"/>
        <v>0</v>
      </c>
      <c r="J155" s="48">
        <f t="shared" si="75"/>
        <v>580.6</v>
      </c>
      <c r="K155" s="76">
        <f t="shared" si="75"/>
        <v>0</v>
      </c>
      <c r="L155" s="48">
        <f t="shared" si="75"/>
        <v>0</v>
      </c>
      <c r="M155" s="48">
        <f t="shared" si="75"/>
        <v>0</v>
      </c>
      <c r="N155" s="76">
        <f t="shared" si="75"/>
        <v>580.6</v>
      </c>
      <c r="O155" s="106">
        <f t="shared" si="75"/>
        <v>0</v>
      </c>
      <c r="P155" s="106"/>
      <c r="Q155" s="106">
        <f t="shared" si="76"/>
        <v>0</v>
      </c>
      <c r="R155" s="107">
        <f t="shared" si="76"/>
        <v>0</v>
      </c>
      <c r="S155" s="76">
        <f t="shared" si="76"/>
        <v>580.6</v>
      </c>
    </row>
    <row r="156" spans="1:19" ht="31.5">
      <c r="A156" s="22" t="s">
        <v>16</v>
      </c>
      <c r="B156" s="20" t="s">
        <v>17</v>
      </c>
      <c r="C156" s="48">
        <v>580.6</v>
      </c>
      <c r="D156" s="48"/>
      <c r="E156" s="44">
        <f>C156+D156</f>
        <v>580.6</v>
      </c>
      <c r="F156" s="20" t="s">
        <v>243</v>
      </c>
      <c r="G156" s="20" t="s">
        <v>17</v>
      </c>
      <c r="H156" s="48">
        <v>580.6</v>
      </c>
      <c r="I156" s="48"/>
      <c r="J156" s="44">
        <f>H156+I156</f>
        <v>580.6</v>
      </c>
      <c r="K156" s="70"/>
      <c r="L156" s="44"/>
      <c r="M156" s="44"/>
      <c r="N156" s="70">
        <f>J156+M156</f>
        <v>580.6</v>
      </c>
      <c r="O156" s="106"/>
      <c r="P156" s="106"/>
      <c r="Q156" s="106"/>
      <c r="R156" s="107"/>
      <c r="S156" s="76">
        <v>580.6</v>
      </c>
    </row>
    <row r="157" spans="1:19" ht="31.5">
      <c r="A157" s="57" t="s">
        <v>330</v>
      </c>
      <c r="B157" s="60"/>
      <c r="C157" s="61">
        <f>C158+C159</f>
        <v>1706.55</v>
      </c>
      <c r="D157" s="61">
        <f>D158+D159</f>
        <v>0</v>
      </c>
      <c r="E157" s="61">
        <f>E158+E159</f>
        <v>1706.55</v>
      </c>
      <c r="F157" s="60" t="s">
        <v>244</v>
      </c>
      <c r="G157" s="60"/>
      <c r="H157" s="61">
        <f aca="true" t="shared" si="77" ref="H157:O157">H158+H159</f>
        <v>1706.55</v>
      </c>
      <c r="I157" s="61">
        <f t="shared" si="77"/>
        <v>0</v>
      </c>
      <c r="J157" s="61">
        <f t="shared" si="77"/>
        <v>1706.55</v>
      </c>
      <c r="K157" s="77">
        <f t="shared" si="77"/>
        <v>0</v>
      </c>
      <c r="L157" s="61">
        <f t="shared" si="77"/>
        <v>0</v>
      </c>
      <c r="M157" s="61">
        <f t="shared" si="77"/>
        <v>0</v>
      </c>
      <c r="N157" s="77">
        <f t="shared" si="77"/>
        <v>1706.55</v>
      </c>
      <c r="O157" s="108">
        <f t="shared" si="77"/>
        <v>0</v>
      </c>
      <c r="P157" s="108"/>
      <c r="Q157" s="108">
        <f>Q158+Q159</f>
        <v>0</v>
      </c>
      <c r="R157" s="109">
        <f>R158+R159</f>
        <v>0</v>
      </c>
      <c r="S157" s="77">
        <f>S158+S159</f>
        <v>1706.5500000000002</v>
      </c>
    </row>
    <row r="158" spans="1:19" ht="96.75" customHeight="1">
      <c r="A158" s="4" t="s">
        <v>14</v>
      </c>
      <c r="B158" s="20" t="s">
        <v>15</v>
      </c>
      <c r="C158" s="48">
        <v>1656.55</v>
      </c>
      <c r="D158" s="48"/>
      <c r="E158" s="44">
        <f>C158+D158</f>
        <v>1656.55</v>
      </c>
      <c r="F158" s="20" t="s">
        <v>244</v>
      </c>
      <c r="G158" s="20" t="s">
        <v>15</v>
      </c>
      <c r="H158" s="48">
        <v>1656.55</v>
      </c>
      <c r="I158" s="48"/>
      <c r="J158" s="44">
        <f>H158+I158</f>
        <v>1656.55</v>
      </c>
      <c r="K158" s="70"/>
      <c r="L158" s="44"/>
      <c r="M158" s="44"/>
      <c r="N158" s="70">
        <f>J158+L158</f>
        <v>1656.55</v>
      </c>
      <c r="O158" s="106"/>
      <c r="P158" s="106"/>
      <c r="Q158" s="106">
        <v>-36.6</v>
      </c>
      <c r="R158" s="107"/>
      <c r="S158" s="76">
        <f>1619.95-107.06</f>
        <v>1512.89</v>
      </c>
    </row>
    <row r="159" spans="1:19" ht="31.5">
      <c r="A159" s="4" t="s">
        <v>16</v>
      </c>
      <c r="B159" s="20" t="s">
        <v>17</v>
      </c>
      <c r="C159" s="48">
        <v>50</v>
      </c>
      <c r="D159" s="48"/>
      <c r="E159" s="44">
        <f>C159+D159</f>
        <v>50</v>
      </c>
      <c r="F159" s="20" t="s">
        <v>244</v>
      </c>
      <c r="G159" s="20" t="s">
        <v>17</v>
      </c>
      <c r="H159" s="48">
        <v>50</v>
      </c>
      <c r="I159" s="48"/>
      <c r="J159" s="44">
        <f>H159+I159</f>
        <v>50</v>
      </c>
      <c r="K159" s="70"/>
      <c r="L159" s="44"/>
      <c r="M159" s="44"/>
      <c r="N159" s="70">
        <f>J159+L159</f>
        <v>50</v>
      </c>
      <c r="O159" s="106"/>
      <c r="P159" s="106"/>
      <c r="Q159" s="106">
        <v>36.6</v>
      </c>
      <c r="R159" s="107"/>
      <c r="S159" s="76">
        <f>86.6+107.06</f>
        <v>193.66</v>
      </c>
    </row>
    <row r="160" spans="1:19" s="34" customFormat="1" ht="87.75" customHeight="1">
      <c r="A160" s="12" t="s">
        <v>245</v>
      </c>
      <c r="B160" s="23"/>
      <c r="C160" s="45" t="e">
        <f>C161</f>
        <v>#REF!</v>
      </c>
      <c r="D160" s="45" t="e">
        <f>D161</f>
        <v>#REF!</v>
      </c>
      <c r="E160" s="45" t="e">
        <f>E161</f>
        <v>#REF!</v>
      </c>
      <c r="F160" s="23" t="s">
        <v>22</v>
      </c>
      <c r="G160" s="23"/>
      <c r="H160" s="45" t="e">
        <f aca="true" t="shared" si="78" ref="H160:O160">H161</f>
        <v>#REF!</v>
      </c>
      <c r="I160" s="45" t="e">
        <f t="shared" si="78"/>
        <v>#REF!</v>
      </c>
      <c r="J160" s="45" t="e">
        <f t="shared" si="78"/>
        <v>#REF!</v>
      </c>
      <c r="K160" s="67" t="e">
        <f t="shared" si="78"/>
        <v>#REF!</v>
      </c>
      <c r="L160" s="45" t="e">
        <f t="shared" si="78"/>
        <v>#REF!</v>
      </c>
      <c r="M160" s="45" t="e">
        <f t="shared" si="78"/>
        <v>#REF!</v>
      </c>
      <c r="N160" s="67" t="e">
        <f t="shared" si="78"/>
        <v>#REF!</v>
      </c>
      <c r="O160" s="100" t="e">
        <f t="shared" si="78"/>
        <v>#REF!</v>
      </c>
      <c r="P160" s="100"/>
      <c r="Q160" s="100" t="e">
        <f>Q161</f>
        <v>#REF!</v>
      </c>
      <c r="R160" s="101" t="e">
        <f>R161</f>
        <v>#REF!</v>
      </c>
      <c r="S160" s="71">
        <f>S161</f>
        <v>1589.65</v>
      </c>
    </row>
    <row r="161" spans="1:19" ht="33.75" customHeight="1">
      <c r="A161" s="28" t="s">
        <v>92</v>
      </c>
      <c r="B161" s="29"/>
      <c r="C161" s="50" t="e">
        <f>#REF!</f>
        <v>#REF!</v>
      </c>
      <c r="D161" s="50" t="e">
        <f>#REF!</f>
        <v>#REF!</v>
      </c>
      <c r="E161" s="50" t="e">
        <f>#REF!</f>
        <v>#REF!</v>
      </c>
      <c r="F161" s="29" t="s">
        <v>246</v>
      </c>
      <c r="G161" s="29"/>
      <c r="H161" s="50" t="e">
        <f>#REF!</f>
        <v>#REF!</v>
      </c>
      <c r="I161" s="50" t="e">
        <f>#REF!</f>
        <v>#REF!</v>
      </c>
      <c r="J161" s="50" t="e">
        <f>#REF!+J162</f>
        <v>#REF!</v>
      </c>
      <c r="K161" s="50" t="e">
        <f>#REF!+K162</f>
        <v>#REF!</v>
      </c>
      <c r="L161" s="50" t="e">
        <f>#REF!+L162</f>
        <v>#REF!</v>
      </c>
      <c r="M161" s="50" t="e">
        <f>#REF!+M162</f>
        <v>#REF!</v>
      </c>
      <c r="N161" s="72" t="e">
        <f>#REF!+N162</f>
        <v>#REF!</v>
      </c>
      <c r="O161" s="109" t="e">
        <f>#REF!+O162</f>
        <v>#REF!</v>
      </c>
      <c r="P161" s="109"/>
      <c r="Q161" s="108" t="e">
        <f>#REF!+Q162</f>
        <v>#REF!</v>
      </c>
      <c r="R161" s="109" t="e">
        <f>#REF!+R162</f>
        <v>#REF!</v>
      </c>
      <c r="S161" s="77">
        <f>S162</f>
        <v>1589.65</v>
      </c>
    </row>
    <row r="162" spans="1:19" ht="39" customHeight="1">
      <c r="A162" s="28" t="s">
        <v>365</v>
      </c>
      <c r="B162" s="29"/>
      <c r="C162" s="50"/>
      <c r="D162" s="50"/>
      <c r="E162" s="43"/>
      <c r="F162" s="29" t="s">
        <v>366</v>
      </c>
      <c r="G162" s="29"/>
      <c r="H162" s="50"/>
      <c r="I162" s="50"/>
      <c r="J162" s="43">
        <f>J163</f>
        <v>0</v>
      </c>
      <c r="K162" s="69"/>
      <c r="L162" s="43">
        <f>L163</f>
        <v>1013.65</v>
      </c>
      <c r="M162" s="43">
        <f>M163</f>
        <v>576</v>
      </c>
      <c r="N162" s="69">
        <f>N163</f>
        <v>1589.65</v>
      </c>
      <c r="O162" s="104"/>
      <c r="P162" s="104"/>
      <c r="Q162" s="104">
        <f>Q163</f>
        <v>0</v>
      </c>
      <c r="R162" s="105">
        <f>R163</f>
        <v>0</v>
      </c>
      <c r="S162" s="73">
        <f>S163</f>
        <v>1589.65</v>
      </c>
    </row>
    <row r="163" spans="1:19" ht="31.5">
      <c r="A163" s="26" t="s">
        <v>24</v>
      </c>
      <c r="B163" s="27"/>
      <c r="C163" s="51"/>
      <c r="D163" s="51"/>
      <c r="E163" s="44"/>
      <c r="F163" s="27" t="s">
        <v>366</v>
      </c>
      <c r="G163" s="27" t="s">
        <v>25</v>
      </c>
      <c r="H163" s="51"/>
      <c r="I163" s="51"/>
      <c r="J163" s="44"/>
      <c r="K163" s="70"/>
      <c r="L163" s="44">
        <v>1013.65</v>
      </c>
      <c r="M163" s="44">
        <v>576</v>
      </c>
      <c r="N163" s="70">
        <f>J163+L163+M163</f>
        <v>1589.65</v>
      </c>
      <c r="O163" s="106"/>
      <c r="P163" s="106"/>
      <c r="Q163" s="106"/>
      <c r="R163" s="107"/>
      <c r="S163" s="76">
        <v>1589.65</v>
      </c>
    </row>
    <row r="164" spans="1:19" ht="20.25" customHeight="1">
      <c r="A164" s="30" t="s">
        <v>124</v>
      </c>
      <c r="B164" s="31"/>
      <c r="C164" s="40">
        <f>C165</f>
        <v>55869.829</v>
      </c>
      <c r="D164" s="40" t="e">
        <f>D165</f>
        <v>#REF!</v>
      </c>
      <c r="E164" s="40" t="e">
        <f>E165</f>
        <v>#REF!</v>
      </c>
      <c r="F164" s="31" t="s">
        <v>40</v>
      </c>
      <c r="G164" s="31"/>
      <c r="H164" s="40">
        <f aca="true" t="shared" si="79" ref="H164:O164">H165</f>
        <v>55869.829</v>
      </c>
      <c r="I164" s="40" t="e">
        <f t="shared" si="79"/>
        <v>#REF!</v>
      </c>
      <c r="J164" s="40">
        <f t="shared" si="79"/>
        <v>56660.199</v>
      </c>
      <c r="K164" s="66">
        <f t="shared" si="79"/>
        <v>336.28999999999996</v>
      </c>
      <c r="L164" s="40">
        <f t="shared" si="79"/>
        <v>150.001</v>
      </c>
      <c r="M164" s="40">
        <f t="shared" si="79"/>
        <v>1019.7</v>
      </c>
      <c r="N164" s="66">
        <f t="shared" si="79"/>
        <v>58166.19</v>
      </c>
      <c r="O164" s="98">
        <f t="shared" si="79"/>
        <v>803.41</v>
      </c>
      <c r="P164" s="98"/>
      <c r="Q164" s="98">
        <f>Q165</f>
        <v>0</v>
      </c>
      <c r="R164" s="99">
        <f>R165</f>
        <v>4500</v>
      </c>
      <c r="S164" s="134">
        <f>S165</f>
        <v>65342.15</v>
      </c>
    </row>
    <row r="165" spans="1:19" s="34" customFormat="1" ht="32.25" customHeight="1">
      <c r="A165" s="12" t="s">
        <v>149</v>
      </c>
      <c r="B165" s="23"/>
      <c r="C165" s="45">
        <f>C166+C171+C176+C180</f>
        <v>55869.829</v>
      </c>
      <c r="D165" s="45" t="e">
        <f>D166+D171+D176+D180</f>
        <v>#REF!</v>
      </c>
      <c r="E165" s="45" t="e">
        <f>E166+E171+E176+E180</f>
        <v>#REF!</v>
      </c>
      <c r="F165" s="23" t="s">
        <v>125</v>
      </c>
      <c r="G165" s="23"/>
      <c r="H165" s="45">
        <f aca="true" t="shared" si="80" ref="H165:O165">H166+H171+H176+H180</f>
        <v>55869.829</v>
      </c>
      <c r="I165" s="45" t="e">
        <f t="shared" si="80"/>
        <v>#REF!</v>
      </c>
      <c r="J165" s="45">
        <f t="shared" si="80"/>
        <v>56660.199</v>
      </c>
      <c r="K165" s="67">
        <f t="shared" si="80"/>
        <v>336.28999999999996</v>
      </c>
      <c r="L165" s="45">
        <f t="shared" si="80"/>
        <v>150.001</v>
      </c>
      <c r="M165" s="45">
        <f t="shared" si="80"/>
        <v>1019.7</v>
      </c>
      <c r="N165" s="67">
        <f t="shared" si="80"/>
        <v>58166.19</v>
      </c>
      <c r="O165" s="100">
        <f t="shared" si="80"/>
        <v>803.41</v>
      </c>
      <c r="P165" s="100"/>
      <c r="Q165" s="100">
        <f>Q166+Q171+Q176+Q180</f>
        <v>0</v>
      </c>
      <c r="R165" s="101">
        <f>R166+R171+R176+R180</f>
        <v>4500</v>
      </c>
      <c r="S165" s="71">
        <f>S166+S171+S176+S180</f>
        <v>65342.15</v>
      </c>
    </row>
    <row r="166" spans="1:19" ht="49.5" customHeight="1">
      <c r="A166" s="10" t="s">
        <v>100</v>
      </c>
      <c r="B166" s="9"/>
      <c r="C166" s="42">
        <f aca="true" t="shared" si="81" ref="C166:E167">C167</f>
        <v>36540</v>
      </c>
      <c r="D166" s="42" t="e">
        <f t="shared" si="81"/>
        <v>#REF!</v>
      </c>
      <c r="E166" s="42" t="e">
        <f t="shared" si="81"/>
        <v>#REF!</v>
      </c>
      <c r="F166" s="9" t="s">
        <v>126</v>
      </c>
      <c r="G166" s="9"/>
      <c r="H166" s="42">
        <f aca="true" t="shared" si="82" ref="H166:O167">H167</f>
        <v>36540</v>
      </c>
      <c r="I166" s="42" t="e">
        <f t="shared" si="82"/>
        <v>#REF!</v>
      </c>
      <c r="J166" s="42">
        <f t="shared" si="82"/>
        <v>36910</v>
      </c>
      <c r="K166" s="68">
        <f t="shared" si="82"/>
        <v>336.28999999999996</v>
      </c>
      <c r="L166" s="42">
        <f t="shared" si="82"/>
        <v>0</v>
      </c>
      <c r="M166" s="42">
        <f t="shared" si="82"/>
        <v>1020</v>
      </c>
      <c r="N166" s="68">
        <f t="shared" si="82"/>
        <v>38266.29</v>
      </c>
      <c r="O166" s="102">
        <f t="shared" si="82"/>
        <v>803.41</v>
      </c>
      <c r="P166" s="102"/>
      <c r="Q166" s="102">
        <f aca="true" t="shared" si="83" ref="Q166:S167">Q167</f>
        <v>0</v>
      </c>
      <c r="R166" s="103">
        <f t="shared" si="83"/>
        <v>4500</v>
      </c>
      <c r="S166" s="75">
        <f t="shared" si="83"/>
        <v>43972.99</v>
      </c>
    </row>
    <row r="167" spans="1:19" ht="83.25" customHeight="1">
      <c r="A167" s="13" t="s">
        <v>99</v>
      </c>
      <c r="B167" s="14"/>
      <c r="C167" s="43">
        <f t="shared" si="81"/>
        <v>36540</v>
      </c>
      <c r="D167" s="43" t="e">
        <f t="shared" si="81"/>
        <v>#REF!</v>
      </c>
      <c r="E167" s="43" t="e">
        <f t="shared" si="81"/>
        <v>#REF!</v>
      </c>
      <c r="F167" s="14" t="s">
        <v>387</v>
      </c>
      <c r="G167" s="14"/>
      <c r="H167" s="43">
        <f t="shared" si="82"/>
        <v>36540</v>
      </c>
      <c r="I167" s="43" t="e">
        <f t="shared" si="82"/>
        <v>#REF!</v>
      </c>
      <c r="J167" s="43">
        <f t="shared" si="82"/>
        <v>36910</v>
      </c>
      <c r="K167" s="69">
        <f t="shared" si="82"/>
        <v>336.28999999999996</v>
      </c>
      <c r="L167" s="43">
        <f t="shared" si="82"/>
        <v>0</v>
      </c>
      <c r="M167" s="43">
        <f t="shared" si="82"/>
        <v>1020</v>
      </c>
      <c r="N167" s="69">
        <f t="shared" si="82"/>
        <v>38266.29</v>
      </c>
      <c r="O167" s="104">
        <f t="shared" si="82"/>
        <v>803.41</v>
      </c>
      <c r="P167" s="104"/>
      <c r="Q167" s="104">
        <f t="shared" si="83"/>
        <v>0</v>
      </c>
      <c r="R167" s="105">
        <f t="shared" si="83"/>
        <v>4500</v>
      </c>
      <c r="S167" s="73">
        <f t="shared" si="83"/>
        <v>43972.99</v>
      </c>
    </row>
    <row r="168" spans="1:19" ht="33" customHeight="1">
      <c r="A168" s="4" t="s">
        <v>98</v>
      </c>
      <c r="B168" s="5"/>
      <c r="C168" s="44">
        <f>C170</f>
        <v>36540</v>
      </c>
      <c r="D168" s="44" t="e">
        <f>D170+#REF!</f>
        <v>#REF!</v>
      </c>
      <c r="E168" s="44" t="e">
        <f>E170+#REF!</f>
        <v>#REF!</v>
      </c>
      <c r="F168" s="5" t="s">
        <v>127</v>
      </c>
      <c r="G168" s="5"/>
      <c r="H168" s="44">
        <f>H170</f>
        <v>36540</v>
      </c>
      <c r="I168" s="44" t="e">
        <f>I170+#REF!</f>
        <v>#REF!</v>
      </c>
      <c r="J168" s="44">
        <f aca="true" t="shared" si="84" ref="J168:O168">J170+J169</f>
        <v>36910</v>
      </c>
      <c r="K168" s="70">
        <f t="shared" si="84"/>
        <v>336.28999999999996</v>
      </c>
      <c r="L168" s="44">
        <f t="shared" si="84"/>
        <v>0</v>
      </c>
      <c r="M168" s="44">
        <f t="shared" si="84"/>
        <v>1020</v>
      </c>
      <c r="N168" s="70">
        <f t="shared" si="84"/>
        <v>38266.29</v>
      </c>
      <c r="O168" s="106">
        <f t="shared" si="84"/>
        <v>803.41</v>
      </c>
      <c r="P168" s="106"/>
      <c r="Q168" s="106">
        <f>Q170+Q169</f>
        <v>0</v>
      </c>
      <c r="R168" s="107">
        <f>R170+R169</f>
        <v>4500</v>
      </c>
      <c r="S168" s="76">
        <f>S170+S169</f>
        <v>43972.99</v>
      </c>
    </row>
    <row r="169" spans="1:19" ht="33" customHeight="1">
      <c r="A169" s="4" t="s">
        <v>16</v>
      </c>
      <c r="B169" s="5" t="s">
        <v>17</v>
      </c>
      <c r="C169" s="44"/>
      <c r="D169" s="44">
        <v>370</v>
      </c>
      <c r="E169" s="44">
        <f>C169+D169</f>
        <v>370</v>
      </c>
      <c r="F169" s="5" t="s">
        <v>127</v>
      </c>
      <c r="G169" s="5" t="s">
        <v>17</v>
      </c>
      <c r="H169" s="44"/>
      <c r="I169" s="44">
        <v>370</v>
      </c>
      <c r="J169" s="44">
        <f>H169+I169</f>
        <v>370</v>
      </c>
      <c r="K169" s="70">
        <f>171.29+165</f>
        <v>336.28999999999996</v>
      </c>
      <c r="L169" s="44"/>
      <c r="M169" s="44">
        <v>20</v>
      </c>
      <c r="N169" s="70">
        <f>L169+M169+J169+K169</f>
        <v>726.29</v>
      </c>
      <c r="O169" s="106">
        <v>803.41</v>
      </c>
      <c r="P169" s="106"/>
      <c r="Q169" s="106"/>
      <c r="R169" s="107"/>
      <c r="S169" s="76">
        <v>1932.99</v>
      </c>
    </row>
    <row r="170" spans="1:19" ht="51" customHeight="1">
      <c r="A170" s="4" t="s">
        <v>69</v>
      </c>
      <c r="B170" s="5" t="s">
        <v>13</v>
      </c>
      <c r="C170" s="44">
        <f>36400+100+40</f>
        <v>36540</v>
      </c>
      <c r="D170" s="44"/>
      <c r="E170" s="44">
        <f>C170+D170</f>
        <v>36540</v>
      </c>
      <c r="F170" s="5" t="s">
        <v>127</v>
      </c>
      <c r="G170" s="5" t="s">
        <v>13</v>
      </c>
      <c r="H170" s="44">
        <f>36400+100+40</f>
        <v>36540</v>
      </c>
      <c r="I170" s="44"/>
      <c r="J170" s="44">
        <f>H170+I170</f>
        <v>36540</v>
      </c>
      <c r="K170" s="70"/>
      <c r="L170" s="44"/>
      <c r="M170" s="44">
        <v>1000</v>
      </c>
      <c r="N170" s="70">
        <f>L170+M170+J170+K170</f>
        <v>37540</v>
      </c>
      <c r="O170" s="106"/>
      <c r="P170" s="106"/>
      <c r="Q170" s="106"/>
      <c r="R170" s="107">
        <v>4500</v>
      </c>
      <c r="S170" s="76">
        <v>42040</v>
      </c>
    </row>
    <row r="171" spans="1:19" ht="56.25" customHeight="1">
      <c r="A171" s="10" t="s">
        <v>128</v>
      </c>
      <c r="B171" s="9"/>
      <c r="C171" s="42">
        <f aca="true" t="shared" si="85" ref="C171:E172">C172</f>
        <v>14000</v>
      </c>
      <c r="D171" s="42" t="e">
        <f t="shared" si="85"/>
        <v>#REF!</v>
      </c>
      <c r="E171" s="42" t="e">
        <f t="shared" si="85"/>
        <v>#REF!</v>
      </c>
      <c r="F171" s="9" t="s">
        <v>129</v>
      </c>
      <c r="G171" s="9"/>
      <c r="H171" s="42">
        <f aca="true" t="shared" si="86" ref="H171:O172">H172</f>
        <v>14000</v>
      </c>
      <c r="I171" s="42" t="e">
        <f t="shared" si="86"/>
        <v>#REF!</v>
      </c>
      <c r="J171" s="42">
        <f t="shared" si="86"/>
        <v>14420.37</v>
      </c>
      <c r="K171" s="68">
        <f t="shared" si="86"/>
        <v>0</v>
      </c>
      <c r="L171" s="42">
        <f t="shared" si="86"/>
        <v>0</v>
      </c>
      <c r="M171" s="42">
        <f t="shared" si="86"/>
        <v>-30.3</v>
      </c>
      <c r="N171" s="68">
        <f t="shared" si="86"/>
        <v>14390.07</v>
      </c>
      <c r="O171" s="102">
        <f t="shared" si="86"/>
        <v>0</v>
      </c>
      <c r="P171" s="102"/>
      <c r="Q171" s="102">
        <f aca="true" t="shared" si="87" ref="Q171:S172">Q172</f>
        <v>0</v>
      </c>
      <c r="R171" s="103">
        <f t="shared" si="87"/>
        <v>0</v>
      </c>
      <c r="S171" s="75">
        <f t="shared" si="87"/>
        <v>15379.95</v>
      </c>
    </row>
    <row r="172" spans="1:19" ht="68.25" customHeight="1">
      <c r="A172" s="13" t="s">
        <v>130</v>
      </c>
      <c r="B172" s="14"/>
      <c r="C172" s="43">
        <f t="shared" si="85"/>
        <v>14000</v>
      </c>
      <c r="D172" s="43" t="e">
        <f t="shared" si="85"/>
        <v>#REF!</v>
      </c>
      <c r="E172" s="43" t="e">
        <f t="shared" si="85"/>
        <v>#REF!</v>
      </c>
      <c r="F172" s="14" t="s">
        <v>389</v>
      </c>
      <c r="G172" s="14"/>
      <c r="H172" s="43">
        <f t="shared" si="86"/>
        <v>14000</v>
      </c>
      <c r="I172" s="43" t="e">
        <f t="shared" si="86"/>
        <v>#REF!</v>
      </c>
      <c r="J172" s="43">
        <f t="shared" si="86"/>
        <v>14420.37</v>
      </c>
      <c r="K172" s="69">
        <f t="shared" si="86"/>
        <v>0</v>
      </c>
      <c r="L172" s="43">
        <f t="shared" si="86"/>
        <v>0</v>
      </c>
      <c r="M172" s="43">
        <f t="shared" si="86"/>
        <v>-30.3</v>
      </c>
      <c r="N172" s="69">
        <f t="shared" si="86"/>
        <v>14390.07</v>
      </c>
      <c r="O172" s="104">
        <f t="shared" si="86"/>
        <v>0</v>
      </c>
      <c r="P172" s="104"/>
      <c r="Q172" s="104">
        <f t="shared" si="87"/>
        <v>0</v>
      </c>
      <c r="R172" s="105">
        <f t="shared" si="87"/>
        <v>0</v>
      </c>
      <c r="S172" s="73">
        <f t="shared" si="87"/>
        <v>15379.95</v>
      </c>
    </row>
    <row r="173" spans="1:19" ht="35.25" customHeight="1">
      <c r="A173" s="4" t="s">
        <v>132</v>
      </c>
      <c r="B173" s="5"/>
      <c r="C173" s="44">
        <f>C175</f>
        <v>14000</v>
      </c>
      <c r="D173" s="44" t="e">
        <f>D175+#REF!</f>
        <v>#REF!</v>
      </c>
      <c r="E173" s="44" t="e">
        <f>E175+#REF!</f>
        <v>#REF!</v>
      </c>
      <c r="F173" s="5" t="s">
        <v>131</v>
      </c>
      <c r="G173" s="5"/>
      <c r="H173" s="44">
        <f>H175</f>
        <v>14000</v>
      </c>
      <c r="I173" s="44" t="e">
        <f>I175+#REF!</f>
        <v>#REF!</v>
      </c>
      <c r="J173" s="44">
        <f aca="true" t="shared" si="88" ref="J173:O173">J174+J175</f>
        <v>14420.37</v>
      </c>
      <c r="K173" s="70">
        <f t="shared" si="88"/>
        <v>0</v>
      </c>
      <c r="L173" s="44">
        <f t="shared" si="88"/>
        <v>0</v>
      </c>
      <c r="M173" s="44">
        <f t="shared" si="88"/>
        <v>-30.3</v>
      </c>
      <c r="N173" s="70">
        <f t="shared" si="88"/>
        <v>14390.07</v>
      </c>
      <c r="O173" s="106">
        <f t="shared" si="88"/>
        <v>0</v>
      </c>
      <c r="P173" s="106"/>
      <c r="Q173" s="106">
        <f>Q174+Q175</f>
        <v>0</v>
      </c>
      <c r="R173" s="107">
        <f>R174+R175</f>
        <v>0</v>
      </c>
      <c r="S173" s="76">
        <f>S174+S175</f>
        <v>15379.95</v>
      </c>
    </row>
    <row r="174" spans="1:19" ht="35.25" customHeight="1">
      <c r="A174" s="4" t="s">
        <v>16</v>
      </c>
      <c r="B174" s="5" t="s">
        <v>17</v>
      </c>
      <c r="C174" s="44"/>
      <c r="D174" s="44">
        <v>420.37</v>
      </c>
      <c r="E174" s="44">
        <f>C174+D174</f>
        <v>420.37</v>
      </c>
      <c r="F174" s="5" t="s">
        <v>131</v>
      </c>
      <c r="G174" s="5" t="s">
        <v>17</v>
      </c>
      <c r="H174" s="44"/>
      <c r="I174" s="44">
        <v>420.37</v>
      </c>
      <c r="J174" s="44">
        <f>H174+I174</f>
        <v>420.37</v>
      </c>
      <c r="K174" s="70"/>
      <c r="L174" s="44"/>
      <c r="M174" s="44">
        <v>-0.3</v>
      </c>
      <c r="N174" s="70">
        <f>J174+M174</f>
        <v>420.07</v>
      </c>
      <c r="O174" s="106"/>
      <c r="P174" s="106"/>
      <c r="Q174" s="106"/>
      <c r="R174" s="107"/>
      <c r="S174" s="76">
        <v>1409.95</v>
      </c>
    </row>
    <row r="175" spans="1:19" ht="53.25" customHeight="1">
      <c r="A175" s="4" t="s">
        <v>69</v>
      </c>
      <c r="B175" s="5" t="s">
        <v>13</v>
      </c>
      <c r="C175" s="44">
        <v>14000</v>
      </c>
      <c r="D175" s="44"/>
      <c r="E175" s="44">
        <f>C175+D175</f>
        <v>14000</v>
      </c>
      <c r="F175" s="5" t="s">
        <v>131</v>
      </c>
      <c r="G175" s="5" t="s">
        <v>13</v>
      </c>
      <c r="H175" s="44">
        <v>14000</v>
      </c>
      <c r="I175" s="44"/>
      <c r="J175" s="44">
        <f>H175+I175</f>
        <v>14000</v>
      </c>
      <c r="K175" s="70"/>
      <c r="L175" s="44"/>
      <c r="M175" s="44">
        <v>-30</v>
      </c>
      <c r="N175" s="70">
        <f>J175+M175</f>
        <v>13970</v>
      </c>
      <c r="O175" s="106"/>
      <c r="P175" s="106"/>
      <c r="Q175" s="106"/>
      <c r="R175" s="107"/>
      <c r="S175" s="76">
        <v>13970</v>
      </c>
    </row>
    <row r="176" spans="1:19" ht="65.25" customHeight="1">
      <c r="A176" s="10" t="s">
        <v>133</v>
      </c>
      <c r="B176" s="9"/>
      <c r="C176" s="42">
        <f aca="true" t="shared" si="89" ref="C176:E178">C177</f>
        <v>4100</v>
      </c>
      <c r="D176" s="42">
        <f t="shared" si="89"/>
        <v>0</v>
      </c>
      <c r="E176" s="42">
        <f t="shared" si="89"/>
        <v>4100</v>
      </c>
      <c r="F176" s="9" t="s">
        <v>136</v>
      </c>
      <c r="G176" s="9"/>
      <c r="H176" s="42">
        <f aca="true" t="shared" si="90" ref="H176:O178">H177</f>
        <v>4100</v>
      </c>
      <c r="I176" s="42">
        <f t="shared" si="90"/>
        <v>0</v>
      </c>
      <c r="J176" s="42">
        <f t="shared" si="90"/>
        <v>4100</v>
      </c>
      <c r="K176" s="68">
        <f t="shared" si="90"/>
        <v>0</v>
      </c>
      <c r="L176" s="42">
        <f t="shared" si="90"/>
        <v>0</v>
      </c>
      <c r="M176" s="42">
        <f t="shared" si="90"/>
        <v>0</v>
      </c>
      <c r="N176" s="68">
        <f t="shared" si="90"/>
        <v>4100</v>
      </c>
      <c r="O176" s="102">
        <f t="shared" si="90"/>
        <v>0</v>
      </c>
      <c r="P176" s="102"/>
      <c r="Q176" s="102">
        <f aca="true" t="shared" si="91" ref="Q176:S178">Q177</f>
        <v>0</v>
      </c>
      <c r="R176" s="103">
        <f t="shared" si="91"/>
        <v>0</v>
      </c>
      <c r="S176" s="75">
        <f t="shared" si="91"/>
        <v>4100</v>
      </c>
    </row>
    <row r="177" spans="1:19" ht="105" customHeight="1">
      <c r="A177" s="13" t="s">
        <v>134</v>
      </c>
      <c r="B177" s="14"/>
      <c r="C177" s="43">
        <f t="shared" si="89"/>
        <v>4100</v>
      </c>
      <c r="D177" s="43">
        <f t="shared" si="89"/>
        <v>0</v>
      </c>
      <c r="E177" s="43">
        <f t="shared" si="89"/>
        <v>4100</v>
      </c>
      <c r="F177" s="14" t="s">
        <v>388</v>
      </c>
      <c r="G177" s="14"/>
      <c r="H177" s="43">
        <f t="shared" si="90"/>
        <v>4100</v>
      </c>
      <c r="I177" s="43">
        <f t="shared" si="90"/>
        <v>0</v>
      </c>
      <c r="J177" s="43">
        <f t="shared" si="90"/>
        <v>4100</v>
      </c>
      <c r="K177" s="69">
        <f t="shared" si="90"/>
        <v>0</v>
      </c>
      <c r="L177" s="43">
        <f t="shared" si="90"/>
        <v>0</v>
      </c>
      <c r="M177" s="43">
        <f t="shared" si="90"/>
        <v>0</v>
      </c>
      <c r="N177" s="69">
        <f t="shared" si="90"/>
        <v>4100</v>
      </c>
      <c r="O177" s="104">
        <f t="shared" si="90"/>
        <v>0</v>
      </c>
      <c r="P177" s="104"/>
      <c r="Q177" s="104">
        <f t="shared" si="91"/>
        <v>0</v>
      </c>
      <c r="R177" s="105">
        <f t="shared" si="91"/>
        <v>0</v>
      </c>
      <c r="S177" s="73">
        <f t="shared" si="91"/>
        <v>4100</v>
      </c>
    </row>
    <row r="178" spans="1:19" ht="33.75" customHeight="1">
      <c r="A178" s="4" t="s">
        <v>137</v>
      </c>
      <c r="B178" s="5"/>
      <c r="C178" s="44">
        <f t="shared" si="89"/>
        <v>4100</v>
      </c>
      <c r="D178" s="44">
        <f t="shared" si="89"/>
        <v>0</v>
      </c>
      <c r="E178" s="44">
        <f t="shared" si="89"/>
        <v>4100</v>
      </c>
      <c r="F178" s="5" t="s">
        <v>135</v>
      </c>
      <c r="G178" s="5"/>
      <c r="H178" s="44">
        <f t="shared" si="90"/>
        <v>4100</v>
      </c>
      <c r="I178" s="44">
        <f t="shared" si="90"/>
        <v>0</v>
      </c>
      <c r="J178" s="44">
        <f t="shared" si="90"/>
        <v>4100</v>
      </c>
      <c r="K178" s="70">
        <f t="shared" si="90"/>
        <v>0</v>
      </c>
      <c r="L178" s="44">
        <f t="shared" si="90"/>
        <v>0</v>
      </c>
      <c r="M178" s="44">
        <f t="shared" si="90"/>
        <v>0</v>
      </c>
      <c r="N178" s="70">
        <f t="shared" si="90"/>
        <v>4100</v>
      </c>
      <c r="O178" s="106">
        <f t="shared" si="90"/>
        <v>0</v>
      </c>
      <c r="P178" s="106"/>
      <c r="Q178" s="106">
        <f t="shared" si="91"/>
        <v>0</v>
      </c>
      <c r="R178" s="107">
        <f t="shared" si="91"/>
        <v>0</v>
      </c>
      <c r="S178" s="76">
        <f t="shared" si="91"/>
        <v>4100</v>
      </c>
    </row>
    <row r="179" spans="1:19" ht="54.75" customHeight="1">
      <c r="A179" s="4" t="s">
        <v>69</v>
      </c>
      <c r="B179" s="5" t="s">
        <v>13</v>
      </c>
      <c r="C179" s="44">
        <v>4100</v>
      </c>
      <c r="D179" s="44"/>
      <c r="E179" s="44">
        <f>C179+D179</f>
        <v>4100</v>
      </c>
      <c r="F179" s="5" t="s">
        <v>135</v>
      </c>
      <c r="G179" s="5" t="s">
        <v>13</v>
      </c>
      <c r="H179" s="44">
        <v>4100</v>
      </c>
      <c r="I179" s="44"/>
      <c r="J179" s="44">
        <f>H179+I179</f>
        <v>4100</v>
      </c>
      <c r="K179" s="70"/>
      <c r="L179" s="44"/>
      <c r="M179" s="44"/>
      <c r="N179" s="70">
        <f>J179+M179</f>
        <v>4100</v>
      </c>
      <c r="O179" s="106"/>
      <c r="P179" s="106"/>
      <c r="Q179" s="106"/>
      <c r="R179" s="107"/>
      <c r="S179" s="76">
        <v>4100</v>
      </c>
    </row>
    <row r="180" spans="1:19" ht="42" customHeight="1">
      <c r="A180" s="10" t="s">
        <v>61</v>
      </c>
      <c r="B180" s="9"/>
      <c r="C180" s="42">
        <f>C181+C184+C188</f>
        <v>1229.829</v>
      </c>
      <c r="D180" s="42">
        <f>D181+D184+D188</f>
        <v>0</v>
      </c>
      <c r="E180" s="42">
        <f>E181+E184+E188</f>
        <v>1229.829</v>
      </c>
      <c r="F180" s="9" t="s">
        <v>140</v>
      </c>
      <c r="G180" s="9"/>
      <c r="H180" s="42">
        <f>H181+H184+H188</f>
        <v>1229.829</v>
      </c>
      <c r="I180" s="42">
        <f>I181+I184+I188</f>
        <v>0</v>
      </c>
      <c r="J180" s="42">
        <f>J181+J184+J188</f>
        <v>1229.829</v>
      </c>
      <c r="K180" s="68">
        <f>K181+K184+K188</f>
        <v>0</v>
      </c>
      <c r="L180" s="42">
        <f>L181+L184+L188+L190</f>
        <v>150.001</v>
      </c>
      <c r="M180" s="42">
        <f>M181+M184+M188+M190</f>
        <v>30</v>
      </c>
      <c r="N180" s="68">
        <f>N181+N184+N188+N190</f>
        <v>1409.83</v>
      </c>
      <c r="O180" s="102">
        <f>O181+O184+O188</f>
        <v>0</v>
      </c>
      <c r="P180" s="102"/>
      <c r="Q180" s="102">
        <f>Q181+Q184+Q188+Q190</f>
        <v>0</v>
      </c>
      <c r="R180" s="103">
        <f>R181+R184+R188+R190</f>
        <v>0</v>
      </c>
      <c r="S180" s="75">
        <f>S181+S184+S188+S190+S192</f>
        <v>1889.21</v>
      </c>
    </row>
    <row r="181" spans="1:19" ht="57" customHeight="1">
      <c r="A181" s="122" t="s">
        <v>139</v>
      </c>
      <c r="B181" s="14"/>
      <c r="C181" s="43">
        <f aca="true" t="shared" si="92" ref="C181:E182">C182</f>
        <v>420</v>
      </c>
      <c r="D181" s="43">
        <f t="shared" si="92"/>
        <v>0</v>
      </c>
      <c r="E181" s="43">
        <f t="shared" si="92"/>
        <v>420</v>
      </c>
      <c r="F181" s="14" t="s">
        <v>141</v>
      </c>
      <c r="G181" s="14"/>
      <c r="H181" s="43">
        <f aca="true" t="shared" si="93" ref="H181:O182">H182</f>
        <v>420</v>
      </c>
      <c r="I181" s="43">
        <f t="shared" si="93"/>
        <v>0</v>
      </c>
      <c r="J181" s="43">
        <f t="shared" si="93"/>
        <v>420</v>
      </c>
      <c r="K181" s="69">
        <f t="shared" si="93"/>
        <v>0</v>
      </c>
      <c r="L181" s="43">
        <f t="shared" si="93"/>
        <v>0</v>
      </c>
      <c r="M181" s="43">
        <f t="shared" si="93"/>
        <v>0</v>
      </c>
      <c r="N181" s="69">
        <f t="shared" si="93"/>
        <v>420</v>
      </c>
      <c r="O181" s="104">
        <f t="shared" si="93"/>
        <v>0</v>
      </c>
      <c r="P181" s="104"/>
      <c r="Q181" s="104">
        <f aca="true" t="shared" si="94" ref="Q181:S182">Q182</f>
        <v>0</v>
      </c>
      <c r="R181" s="105">
        <f t="shared" si="94"/>
        <v>0</v>
      </c>
      <c r="S181" s="73">
        <f t="shared" si="94"/>
        <v>420</v>
      </c>
    </row>
    <row r="182" spans="1:19" ht="33.75" customHeight="1">
      <c r="A182" s="4" t="s">
        <v>138</v>
      </c>
      <c r="B182" s="5"/>
      <c r="C182" s="44">
        <f t="shared" si="92"/>
        <v>420</v>
      </c>
      <c r="D182" s="44">
        <f t="shared" si="92"/>
        <v>0</v>
      </c>
      <c r="E182" s="44">
        <f t="shared" si="92"/>
        <v>420</v>
      </c>
      <c r="F182" s="5" t="s">
        <v>141</v>
      </c>
      <c r="G182" s="5"/>
      <c r="H182" s="44">
        <f t="shared" si="93"/>
        <v>420</v>
      </c>
      <c r="I182" s="44">
        <f t="shared" si="93"/>
        <v>0</v>
      </c>
      <c r="J182" s="44">
        <f t="shared" si="93"/>
        <v>420</v>
      </c>
      <c r="K182" s="70">
        <f t="shared" si="93"/>
        <v>0</v>
      </c>
      <c r="L182" s="44">
        <f t="shared" si="93"/>
        <v>0</v>
      </c>
      <c r="M182" s="44">
        <f t="shared" si="93"/>
        <v>0</v>
      </c>
      <c r="N182" s="70">
        <f t="shared" si="93"/>
        <v>420</v>
      </c>
      <c r="O182" s="106">
        <f t="shared" si="93"/>
        <v>0</v>
      </c>
      <c r="P182" s="106"/>
      <c r="Q182" s="106">
        <f t="shared" si="94"/>
        <v>0</v>
      </c>
      <c r="R182" s="107">
        <f t="shared" si="94"/>
        <v>0</v>
      </c>
      <c r="S182" s="76">
        <f t="shared" si="94"/>
        <v>420</v>
      </c>
    </row>
    <row r="183" spans="1:19" ht="35.25" customHeight="1">
      <c r="A183" s="4" t="s">
        <v>16</v>
      </c>
      <c r="B183" s="5" t="s">
        <v>17</v>
      </c>
      <c r="C183" s="44">
        <v>420</v>
      </c>
      <c r="D183" s="44"/>
      <c r="E183" s="44">
        <f>C183+D183</f>
        <v>420</v>
      </c>
      <c r="F183" s="5" t="s">
        <v>141</v>
      </c>
      <c r="G183" s="5" t="s">
        <v>17</v>
      </c>
      <c r="H183" s="44">
        <v>420</v>
      </c>
      <c r="I183" s="44"/>
      <c r="J183" s="44">
        <f>H183+I183</f>
        <v>420</v>
      </c>
      <c r="K183" s="70"/>
      <c r="L183" s="44"/>
      <c r="M183" s="44"/>
      <c r="N183" s="70">
        <f>J183+M183</f>
        <v>420</v>
      </c>
      <c r="O183" s="106"/>
      <c r="P183" s="106"/>
      <c r="Q183" s="106"/>
      <c r="R183" s="107"/>
      <c r="S183" s="76">
        <v>420</v>
      </c>
    </row>
    <row r="184" spans="1:19" ht="41.25" customHeight="1">
      <c r="A184" s="13" t="s">
        <v>44</v>
      </c>
      <c r="B184" s="14"/>
      <c r="C184" s="43">
        <f>C185</f>
        <v>700</v>
      </c>
      <c r="D184" s="43">
        <f>D185</f>
        <v>0</v>
      </c>
      <c r="E184" s="43">
        <f>E185</f>
        <v>700</v>
      </c>
      <c r="F184" s="14" t="s">
        <v>143</v>
      </c>
      <c r="G184" s="14"/>
      <c r="H184" s="43">
        <f aca="true" t="shared" si="95" ref="H184:O184">H185</f>
        <v>700</v>
      </c>
      <c r="I184" s="43">
        <f t="shared" si="95"/>
        <v>0</v>
      </c>
      <c r="J184" s="43">
        <f t="shared" si="95"/>
        <v>700</v>
      </c>
      <c r="K184" s="69">
        <f t="shared" si="95"/>
        <v>0</v>
      </c>
      <c r="L184" s="43">
        <f t="shared" si="95"/>
        <v>0</v>
      </c>
      <c r="M184" s="43">
        <f t="shared" si="95"/>
        <v>0</v>
      </c>
      <c r="N184" s="69">
        <f t="shared" si="95"/>
        <v>700</v>
      </c>
      <c r="O184" s="104">
        <f t="shared" si="95"/>
        <v>0</v>
      </c>
      <c r="P184" s="104"/>
      <c r="Q184" s="104">
        <f>Q185</f>
        <v>0</v>
      </c>
      <c r="R184" s="105">
        <f>R185</f>
        <v>0</v>
      </c>
      <c r="S184" s="73">
        <f>S185</f>
        <v>700</v>
      </c>
    </row>
    <row r="185" spans="1:19" ht="32.25" customHeight="1">
      <c r="A185" s="4" t="s">
        <v>142</v>
      </c>
      <c r="B185" s="5"/>
      <c r="C185" s="44">
        <f>C187</f>
        <v>700</v>
      </c>
      <c r="D185" s="44">
        <f>D187</f>
        <v>0</v>
      </c>
      <c r="E185" s="44">
        <f>E187</f>
        <v>700</v>
      </c>
      <c r="F185" s="5" t="s">
        <v>143</v>
      </c>
      <c r="G185" s="5"/>
      <c r="H185" s="44">
        <f>H187</f>
        <v>700</v>
      </c>
      <c r="I185" s="44">
        <f>I187</f>
        <v>0</v>
      </c>
      <c r="J185" s="44">
        <f aca="true" t="shared" si="96" ref="J185:O185">J187+J186</f>
        <v>700</v>
      </c>
      <c r="K185" s="44">
        <f t="shared" si="96"/>
        <v>0</v>
      </c>
      <c r="L185" s="44">
        <f t="shared" si="96"/>
        <v>0</v>
      </c>
      <c r="M185" s="44">
        <f t="shared" si="96"/>
        <v>0</v>
      </c>
      <c r="N185" s="70">
        <f t="shared" si="96"/>
        <v>700</v>
      </c>
      <c r="O185" s="107">
        <f t="shared" si="96"/>
        <v>0</v>
      </c>
      <c r="P185" s="107"/>
      <c r="Q185" s="106">
        <f>Q187+Q186</f>
        <v>0</v>
      </c>
      <c r="R185" s="107">
        <f>R187+R186</f>
        <v>0</v>
      </c>
      <c r="S185" s="76">
        <f>S187+S186</f>
        <v>700</v>
      </c>
    </row>
    <row r="186" spans="1:19" ht="102" customHeight="1">
      <c r="A186" s="4" t="s">
        <v>14</v>
      </c>
      <c r="B186" s="5"/>
      <c r="C186" s="44"/>
      <c r="D186" s="44"/>
      <c r="E186" s="44"/>
      <c r="F186" s="5" t="s">
        <v>143</v>
      </c>
      <c r="G186" s="5" t="s">
        <v>15</v>
      </c>
      <c r="H186" s="44"/>
      <c r="I186" s="44"/>
      <c r="J186" s="44"/>
      <c r="K186" s="70"/>
      <c r="L186" s="44"/>
      <c r="M186" s="44">
        <v>149.81</v>
      </c>
      <c r="N186" s="70">
        <f>M186</f>
        <v>149.81</v>
      </c>
      <c r="O186" s="106"/>
      <c r="P186" s="106"/>
      <c r="Q186" s="106"/>
      <c r="R186" s="107">
        <v>40</v>
      </c>
      <c r="S186" s="76">
        <f>225.81+30.2</f>
        <v>256.01</v>
      </c>
    </row>
    <row r="187" spans="1:19" s="2" customFormat="1" ht="33.75" customHeight="1">
      <c r="A187" s="4" t="s">
        <v>16</v>
      </c>
      <c r="B187" s="5" t="s">
        <v>17</v>
      </c>
      <c r="C187" s="44">
        <v>700</v>
      </c>
      <c r="D187" s="44"/>
      <c r="E187" s="44">
        <f>C187+D187</f>
        <v>700</v>
      </c>
      <c r="F187" s="5" t="s">
        <v>143</v>
      </c>
      <c r="G187" s="5" t="s">
        <v>17</v>
      </c>
      <c r="H187" s="44">
        <v>700</v>
      </c>
      <c r="I187" s="44"/>
      <c r="J187" s="44">
        <f>H187+I187</f>
        <v>700</v>
      </c>
      <c r="K187" s="70"/>
      <c r="L187" s="44"/>
      <c r="M187" s="44">
        <v>-149.81</v>
      </c>
      <c r="N187" s="70">
        <f>J187+M187</f>
        <v>550.19</v>
      </c>
      <c r="O187" s="106"/>
      <c r="P187" s="106"/>
      <c r="Q187" s="106"/>
      <c r="R187" s="107">
        <v>-40</v>
      </c>
      <c r="S187" s="76">
        <f>474.19-30.2</f>
        <v>443.99</v>
      </c>
    </row>
    <row r="188" spans="1:19" s="2" customFormat="1" ht="45.75" customHeight="1">
      <c r="A188" s="28" t="s">
        <v>331</v>
      </c>
      <c r="B188" s="29"/>
      <c r="C188" s="50">
        <f>C189</f>
        <v>109.829</v>
      </c>
      <c r="D188" s="50">
        <f>D189</f>
        <v>0</v>
      </c>
      <c r="E188" s="50">
        <f>E189</f>
        <v>109.829</v>
      </c>
      <c r="F188" s="29" t="s">
        <v>332</v>
      </c>
      <c r="G188" s="29"/>
      <c r="H188" s="50">
        <f aca="true" t="shared" si="97" ref="H188:O188">H189</f>
        <v>109.829</v>
      </c>
      <c r="I188" s="50">
        <f t="shared" si="97"/>
        <v>0</v>
      </c>
      <c r="J188" s="50">
        <f t="shared" si="97"/>
        <v>109.829</v>
      </c>
      <c r="K188" s="72">
        <f t="shared" si="97"/>
        <v>0</v>
      </c>
      <c r="L188" s="50">
        <f t="shared" si="97"/>
        <v>0.001</v>
      </c>
      <c r="M188" s="50">
        <f t="shared" si="97"/>
        <v>30</v>
      </c>
      <c r="N188" s="72">
        <f t="shared" si="97"/>
        <v>139.83</v>
      </c>
      <c r="O188" s="108">
        <f t="shared" si="97"/>
        <v>0</v>
      </c>
      <c r="P188" s="108"/>
      <c r="Q188" s="108">
        <f>Q189</f>
        <v>0</v>
      </c>
      <c r="R188" s="109">
        <f>R189</f>
        <v>0</v>
      </c>
      <c r="S188" s="77">
        <f>S189</f>
        <v>139.83</v>
      </c>
    </row>
    <row r="189" spans="1:19" s="2" customFormat="1" ht="45" customHeight="1">
      <c r="A189" s="4" t="s">
        <v>69</v>
      </c>
      <c r="B189" s="5" t="s">
        <v>17</v>
      </c>
      <c r="C189" s="44">
        <v>109.829</v>
      </c>
      <c r="D189" s="44"/>
      <c r="E189" s="44">
        <f>C189+D189</f>
        <v>109.829</v>
      </c>
      <c r="F189" s="5" t="s">
        <v>332</v>
      </c>
      <c r="G189" s="5" t="s">
        <v>13</v>
      </c>
      <c r="H189" s="44">
        <v>109.829</v>
      </c>
      <c r="I189" s="44"/>
      <c r="J189" s="44">
        <f>H189+I189</f>
        <v>109.829</v>
      </c>
      <c r="K189" s="70"/>
      <c r="L189" s="44">
        <v>0.001</v>
      </c>
      <c r="M189" s="44">
        <v>30</v>
      </c>
      <c r="N189" s="70">
        <f>J189+M189+L189</f>
        <v>139.83</v>
      </c>
      <c r="O189" s="106"/>
      <c r="P189" s="106"/>
      <c r="Q189" s="106"/>
      <c r="R189" s="107"/>
      <c r="S189" s="76">
        <v>139.83</v>
      </c>
    </row>
    <row r="190" spans="1:19" s="2" customFormat="1" ht="40.5" customHeight="1">
      <c r="A190" s="13" t="s">
        <v>375</v>
      </c>
      <c r="B190" s="14"/>
      <c r="C190" s="43"/>
      <c r="D190" s="43"/>
      <c r="E190" s="43"/>
      <c r="F190" s="14" t="s">
        <v>374</v>
      </c>
      <c r="G190" s="14"/>
      <c r="H190" s="43"/>
      <c r="I190" s="43"/>
      <c r="J190" s="43"/>
      <c r="K190" s="69"/>
      <c r="L190" s="43">
        <f>L191</f>
        <v>150</v>
      </c>
      <c r="M190" s="43">
        <f>M191</f>
        <v>0</v>
      </c>
      <c r="N190" s="69">
        <f>N191</f>
        <v>150</v>
      </c>
      <c r="O190" s="104"/>
      <c r="P190" s="104"/>
      <c r="Q190" s="104">
        <f>Q191</f>
        <v>0</v>
      </c>
      <c r="R190" s="105">
        <f>R191</f>
        <v>0</v>
      </c>
      <c r="S190" s="73">
        <f>S191</f>
        <v>150</v>
      </c>
    </row>
    <row r="191" spans="1:19" s="2" customFormat="1" ht="51.75" customHeight="1">
      <c r="A191" s="4" t="s">
        <v>69</v>
      </c>
      <c r="B191" s="5" t="s">
        <v>17</v>
      </c>
      <c r="C191" s="44">
        <v>109.829</v>
      </c>
      <c r="D191" s="44"/>
      <c r="E191" s="44">
        <f>C191+D191</f>
        <v>109.829</v>
      </c>
      <c r="F191" s="5" t="s">
        <v>374</v>
      </c>
      <c r="G191" s="5" t="s">
        <v>13</v>
      </c>
      <c r="H191" s="44"/>
      <c r="I191" s="44"/>
      <c r="J191" s="44"/>
      <c r="K191" s="70"/>
      <c r="L191" s="44">
        <v>150</v>
      </c>
      <c r="M191" s="44"/>
      <c r="N191" s="70">
        <f>L191</f>
        <v>150</v>
      </c>
      <c r="O191" s="106"/>
      <c r="P191" s="106"/>
      <c r="Q191" s="106"/>
      <c r="R191" s="107"/>
      <c r="S191" s="76">
        <v>150</v>
      </c>
    </row>
    <row r="192" spans="1:19" s="2" customFormat="1" ht="45" customHeight="1">
      <c r="A192" s="13" t="s">
        <v>433</v>
      </c>
      <c r="B192" s="14"/>
      <c r="C192" s="43"/>
      <c r="D192" s="43"/>
      <c r="E192" s="43"/>
      <c r="F192" s="14" t="s">
        <v>434</v>
      </c>
      <c r="G192" s="14"/>
      <c r="H192" s="43"/>
      <c r="I192" s="43"/>
      <c r="J192" s="43"/>
      <c r="K192" s="69"/>
      <c r="L192" s="43"/>
      <c r="M192" s="43"/>
      <c r="N192" s="69"/>
      <c r="O192" s="104"/>
      <c r="P192" s="104"/>
      <c r="Q192" s="104"/>
      <c r="R192" s="105"/>
      <c r="S192" s="73">
        <f>S193</f>
        <v>479.38</v>
      </c>
    </row>
    <row r="193" spans="1:19" s="2" customFormat="1" ht="45" customHeight="1">
      <c r="A193" s="4" t="s">
        <v>146</v>
      </c>
      <c r="B193" s="5"/>
      <c r="C193" s="44"/>
      <c r="D193" s="44"/>
      <c r="E193" s="44"/>
      <c r="F193" s="5" t="s">
        <v>434</v>
      </c>
      <c r="G193" s="5" t="s">
        <v>48</v>
      </c>
      <c r="H193" s="44"/>
      <c r="I193" s="44"/>
      <c r="J193" s="44"/>
      <c r="K193" s="70"/>
      <c r="L193" s="44"/>
      <c r="M193" s="44"/>
      <c r="N193" s="70"/>
      <c r="O193" s="106"/>
      <c r="P193" s="106"/>
      <c r="Q193" s="106"/>
      <c r="R193" s="107"/>
      <c r="S193" s="76">
        <v>479.38</v>
      </c>
    </row>
    <row r="194" spans="1:19" s="2" customFormat="1" ht="33.75" customHeight="1">
      <c r="A194" s="30" t="s">
        <v>144</v>
      </c>
      <c r="B194" s="31"/>
      <c r="C194" s="40" t="e">
        <f>C195+C201+C206</f>
        <v>#REF!</v>
      </c>
      <c r="D194" s="40" t="e">
        <f>D195+D201+D206+D250</f>
        <v>#REF!</v>
      </c>
      <c r="E194" s="40" t="e">
        <f>E195+E201+E206+E250</f>
        <v>#REF!</v>
      </c>
      <c r="F194" s="31" t="s">
        <v>21</v>
      </c>
      <c r="G194" s="31"/>
      <c r="H194" s="40" t="e">
        <f>H195+H201+H206</f>
        <v>#REF!</v>
      </c>
      <c r="I194" s="40" t="e">
        <f aca="true" t="shared" si="98" ref="I194:R194">I195+I201+I206+I250</f>
        <v>#REF!</v>
      </c>
      <c r="J194" s="40" t="e">
        <f t="shared" si="98"/>
        <v>#REF!</v>
      </c>
      <c r="K194" s="66" t="e">
        <f t="shared" si="98"/>
        <v>#REF!</v>
      </c>
      <c r="L194" s="40" t="e">
        <f t="shared" si="98"/>
        <v>#REF!</v>
      </c>
      <c r="M194" s="40" t="e">
        <f t="shared" si="98"/>
        <v>#REF!</v>
      </c>
      <c r="N194" s="66" t="e">
        <f t="shared" si="98"/>
        <v>#REF!</v>
      </c>
      <c r="O194" s="98" t="e">
        <f t="shared" si="98"/>
        <v>#REF!</v>
      </c>
      <c r="P194" s="98" t="e">
        <f t="shared" si="98"/>
        <v>#REF!</v>
      </c>
      <c r="Q194" s="98" t="e">
        <f t="shared" si="98"/>
        <v>#REF!</v>
      </c>
      <c r="R194" s="99" t="e">
        <f t="shared" si="98"/>
        <v>#REF!</v>
      </c>
      <c r="S194" s="134">
        <f>S195+S201+S206+S227+S250+S260</f>
        <v>467256.62</v>
      </c>
    </row>
    <row r="195" spans="1:19" s="24" customFormat="1" ht="78" customHeight="1">
      <c r="A195" s="12" t="s">
        <v>259</v>
      </c>
      <c r="B195" s="23"/>
      <c r="C195" s="45">
        <f aca="true" t="shared" si="99" ref="C195:E197">C196</f>
        <v>13000</v>
      </c>
      <c r="D195" s="45">
        <f t="shared" si="99"/>
        <v>0</v>
      </c>
      <c r="E195" s="45">
        <f t="shared" si="99"/>
        <v>13000</v>
      </c>
      <c r="F195" s="23" t="s">
        <v>145</v>
      </c>
      <c r="G195" s="23"/>
      <c r="H195" s="45">
        <f aca="true" t="shared" si="100" ref="H195:O195">H196</f>
        <v>13000</v>
      </c>
      <c r="I195" s="45">
        <f t="shared" si="100"/>
        <v>0</v>
      </c>
      <c r="J195" s="45">
        <f t="shared" si="100"/>
        <v>13000</v>
      </c>
      <c r="K195" s="67">
        <f t="shared" si="100"/>
        <v>0</v>
      </c>
      <c r="L195" s="45">
        <f t="shared" si="100"/>
        <v>0</v>
      </c>
      <c r="M195" s="45">
        <f t="shared" si="100"/>
        <v>0</v>
      </c>
      <c r="N195" s="67">
        <f t="shared" si="100"/>
        <v>13000</v>
      </c>
      <c r="O195" s="100">
        <f t="shared" si="100"/>
        <v>1270.53</v>
      </c>
      <c r="P195" s="100"/>
      <c r="Q195" s="100">
        <f>Q196</f>
        <v>0</v>
      </c>
      <c r="R195" s="101">
        <f>R196</f>
        <v>0</v>
      </c>
      <c r="S195" s="71">
        <f>S196</f>
        <v>19751.65</v>
      </c>
    </row>
    <row r="196" spans="1:19" s="2" customFormat="1" ht="64.5" customHeight="1">
      <c r="A196" s="13" t="s">
        <v>147</v>
      </c>
      <c r="B196" s="14"/>
      <c r="C196" s="43">
        <f t="shared" si="99"/>
        <v>13000</v>
      </c>
      <c r="D196" s="43">
        <f t="shared" si="99"/>
        <v>0</v>
      </c>
      <c r="E196" s="43">
        <f t="shared" si="99"/>
        <v>13000</v>
      </c>
      <c r="F196" s="14" t="s">
        <v>26</v>
      </c>
      <c r="G196" s="14"/>
      <c r="H196" s="43">
        <f aca="true" t="shared" si="101" ref="H196:N197">H197</f>
        <v>13000</v>
      </c>
      <c r="I196" s="43">
        <f t="shared" si="101"/>
        <v>0</v>
      </c>
      <c r="J196" s="43">
        <f t="shared" si="101"/>
        <v>13000</v>
      </c>
      <c r="K196" s="69">
        <f t="shared" si="101"/>
        <v>0</v>
      </c>
      <c r="L196" s="43">
        <f t="shared" si="101"/>
        <v>0</v>
      </c>
      <c r="M196" s="43">
        <f t="shared" si="101"/>
        <v>0</v>
      </c>
      <c r="N196" s="69">
        <f t="shared" si="101"/>
        <v>13000</v>
      </c>
      <c r="O196" s="104">
        <f>O197+O200</f>
        <v>1270.53</v>
      </c>
      <c r="P196" s="104"/>
      <c r="Q196" s="104">
        <f>Q197+Q200</f>
        <v>0</v>
      </c>
      <c r="R196" s="104">
        <f>R197+R200</f>
        <v>0</v>
      </c>
      <c r="S196" s="73">
        <f>S197+S200</f>
        <v>19751.65</v>
      </c>
    </row>
    <row r="197" spans="1:19" s="2" customFormat="1" ht="47.25" customHeight="1">
      <c r="A197" s="13" t="s">
        <v>148</v>
      </c>
      <c r="B197" s="14"/>
      <c r="C197" s="43">
        <f t="shared" si="99"/>
        <v>13000</v>
      </c>
      <c r="D197" s="43">
        <f t="shared" si="99"/>
        <v>0</v>
      </c>
      <c r="E197" s="43">
        <f t="shared" si="99"/>
        <v>13000</v>
      </c>
      <c r="F197" s="14" t="s">
        <v>41</v>
      </c>
      <c r="G197" s="14"/>
      <c r="H197" s="43">
        <f t="shared" si="101"/>
        <v>13000</v>
      </c>
      <c r="I197" s="43">
        <f t="shared" si="101"/>
        <v>0</v>
      </c>
      <c r="J197" s="43">
        <f t="shared" si="101"/>
        <v>13000</v>
      </c>
      <c r="K197" s="69">
        <f t="shared" si="101"/>
        <v>0</v>
      </c>
      <c r="L197" s="43">
        <f t="shared" si="101"/>
        <v>0</v>
      </c>
      <c r="M197" s="43">
        <f t="shared" si="101"/>
        <v>0</v>
      </c>
      <c r="N197" s="69">
        <f t="shared" si="101"/>
        <v>13000</v>
      </c>
      <c r="O197" s="104">
        <f>O198</f>
        <v>0</v>
      </c>
      <c r="P197" s="104"/>
      <c r="Q197" s="104">
        <f>Q198</f>
        <v>0</v>
      </c>
      <c r="R197" s="105">
        <f>R198</f>
        <v>0</v>
      </c>
      <c r="S197" s="73">
        <f>S198</f>
        <v>13000</v>
      </c>
    </row>
    <row r="198" spans="1:19" s="2" customFormat="1" ht="36" customHeight="1">
      <c r="A198" s="4" t="s">
        <v>16</v>
      </c>
      <c r="B198" s="5" t="s">
        <v>17</v>
      </c>
      <c r="C198" s="44">
        <v>13000</v>
      </c>
      <c r="D198" s="44"/>
      <c r="E198" s="44">
        <f>C198+D198</f>
        <v>13000</v>
      </c>
      <c r="F198" s="5" t="s">
        <v>41</v>
      </c>
      <c r="G198" s="5" t="s">
        <v>17</v>
      </c>
      <c r="H198" s="44">
        <v>13000</v>
      </c>
      <c r="I198" s="44"/>
      <c r="J198" s="44">
        <f>H198+I198</f>
        <v>13000</v>
      </c>
      <c r="K198" s="70"/>
      <c r="L198" s="44"/>
      <c r="M198" s="44"/>
      <c r="N198" s="70">
        <f>J198+M198</f>
        <v>13000</v>
      </c>
      <c r="O198" s="106"/>
      <c r="P198" s="106"/>
      <c r="Q198" s="106"/>
      <c r="R198" s="107"/>
      <c r="S198" s="76">
        <v>13000</v>
      </c>
    </row>
    <row r="199" spans="1:19" s="2" customFormat="1" ht="47.25">
      <c r="A199" s="13" t="s">
        <v>409</v>
      </c>
      <c r="B199" s="14"/>
      <c r="C199" s="43"/>
      <c r="D199" s="43"/>
      <c r="E199" s="43"/>
      <c r="F199" s="14" t="s">
        <v>410</v>
      </c>
      <c r="G199" s="14"/>
      <c r="H199" s="43"/>
      <c r="I199" s="43"/>
      <c r="J199" s="43"/>
      <c r="K199" s="69"/>
      <c r="L199" s="43"/>
      <c r="M199" s="43"/>
      <c r="N199" s="69"/>
      <c r="O199" s="104">
        <f>O200</f>
        <v>1270.53</v>
      </c>
      <c r="P199" s="104"/>
      <c r="Q199" s="104">
        <f>Q200</f>
        <v>0</v>
      </c>
      <c r="R199" s="104">
        <f>R200</f>
        <v>0</v>
      </c>
      <c r="S199" s="73">
        <f>S200</f>
        <v>6751.65</v>
      </c>
    </row>
    <row r="200" spans="1:19" s="2" customFormat="1" ht="36" customHeight="1">
      <c r="A200" s="4" t="s">
        <v>16</v>
      </c>
      <c r="B200" s="5"/>
      <c r="C200" s="44"/>
      <c r="D200" s="44"/>
      <c r="E200" s="44"/>
      <c r="F200" s="5" t="s">
        <v>410</v>
      </c>
      <c r="G200" s="5" t="s">
        <v>17</v>
      </c>
      <c r="H200" s="44"/>
      <c r="I200" s="44"/>
      <c r="J200" s="44"/>
      <c r="K200" s="70"/>
      <c r="L200" s="44"/>
      <c r="M200" s="44"/>
      <c r="N200" s="70"/>
      <c r="O200" s="106">
        <v>1270.53</v>
      </c>
      <c r="P200" s="106"/>
      <c r="Q200" s="106"/>
      <c r="R200" s="107"/>
      <c r="S200" s="76">
        <v>6751.65</v>
      </c>
    </row>
    <row r="201" spans="1:19" s="24" customFormat="1" ht="70.5" customHeight="1">
      <c r="A201" s="12" t="s">
        <v>153</v>
      </c>
      <c r="B201" s="23"/>
      <c r="C201" s="45" t="e">
        <f>C202</f>
        <v>#REF!</v>
      </c>
      <c r="D201" s="45" t="e">
        <f>D202</f>
        <v>#REF!</v>
      </c>
      <c r="E201" s="45" t="e">
        <f>E202</f>
        <v>#REF!</v>
      </c>
      <c r="F201" s="23" t="s">
        <v>43</v>
      </c>
      <c r="G201" s="23"/>
      <c r="H201" s="45" t="e">
        <f aca="true" t="shared" si="102" ref="H201:O201">H202</f>
        <v>#REF!</v>
      </c>
      <c r="I201" s="45" t="e">
        <f t="shared" si="102"/>
        <v>#REF!</v>
      </c>
      <c r="J201" s="45" t="e">
        <f t="shared" si="102"/>
        <v>#REF!</v>
      </c>
      <c r="K201" s="67" t="e">
        <f t="shared" si="102"/>
        <v>#REF!</v>
      </c>
      <c r="L201" s="45" t="e">
        <f t="shared" si="102"/>
        <v>#REF!</v>
      </c>
      <c r="M201" s="45" t="e">
        <f t="shared" si="102"/>
        <v>#REF!</v>
      </c>
      <c r="N201" s="67" t="e">
        <f t="shared" si="102"/>
        <v>#REF!</v>
      </c>
      <c r="O201" s="100" t="e">
        <f t="shared" si="102"/>
        <v>#REF!</v>
      </c>
      <c r="P201" s="100"/>
      <c r="Q201" s="100" t="e">
        <f>Q202</f>
        <v>#REF!</v>
      </c>
      <c r="R201" s="101" t="e">
        <f>R202</f>
        <v>#REF!</v>
      </c>
      <c r="S201" s="71">
        <f>S202</f>
        <v>16533</v>
      </c>
    </row>
    <row r="202" spans="1:19" s="2" customFormat="1" ht="51.75" customHeight="1">
      <c r="A202" s="13" t="s">
        <v>154</v>
      </c>
      <c r="B202" s="14"/>
      <c r="C202" s="43" t="e">
        <f>#REF!+C203</f>
        <v>#REF!</v>
      </c>
      <c r="D202" s="43" t="e">
        <f>#REF!+D203</f>
        <v>#REF!</v>
      </c>
      <c r="E202" s="43" t="e">
        <f>#REF!+E203</f>
        <v>#REF!</v>
      </c>
      <c r="F202" s="14" t="s">
        <v>266</v>
      </c>
      <c r="G202" s="14"/>
      <c r="H202" s="43" t="e">
        <f>#REF!+H203</f>
        <v>#REF!</v>
      </c>
      <c r="I202" s="43" t="e">
        <f>#REF!+I203</f>
        <v>#REF!</v>
      </c>
      <c r="J202" s="43" t="e">
        <f>#REF!+J203</f>
        <v>#REF!</v>
      </c>
      <c r="K202" s="69" t="e">
        <f>#REF!+K203</f>
        <v>#REF!</v>
      </c>
      <c r="L202" s="43" t="e">
        <f>#REF!+L203</f>
        <v>#REF!</v>
      </c>
      <c r="M202" s="43" t="e">
        <f>#REF!+M203</f>
        <v>#REF!</v>
      </c>
      <c r="N202" s="69" t="e">
        <f>#REF!+N203</f>
        <v>#REF!</v>
      </c>
      <c r="O202" s="104" t="e">
        <f>#REF!+O203</f>
        <v>#REF!</v>
      </c>
      <c r="P202" s="104"/>
      <c r="Q202" s="104" t="e">
        <f>#REF!+Q203</f>
        <v>#REF!</v>
      </c>
      <c r="R202" s="105" t="e">
        <f>#REF!+R203</f>
        <v>#REF!</v>
      </c>
      <c r="S202" s="73">
        <f>S203</f>
        <v>16533</v>
      </c>
    </row>
    <row r="203" spans="1:19" s="2" customFormat="1" ht="47.25" customHeight="1">
      <c r="A203" s="28" t="s">
        <v>333</v>
      </c>
      <c r="B203" s="29"/>
      <c r="C203" s="50">
        <f>C204</f>
        <v>12400</v>
      </c>
      <c r="D203" s="50">
        <f>D204</f>
        <v>-600</v>
      </c>
      <c r="E203" s="50">
        <f>E204</f>
        <v>11800</v>
      </c>
      <c r="F203" s="29" t="s">
        <v>334</v>
      </c>
      <c r="G203" s="29"/>
      <c r="H203" s="50">
        <f aca="true" t="shared" si="103" ref="H203:O203">H204</f>
        <v>12400</v>
      </c>
      <c r="I203" s="50">
        <f t="shared" si="103"/>
        <v>-600</v>
      </c>
      <c r="J203" s="50">
        <f t="shared" si="103"/>
        <v>11800</v>
      </c>
      <c r="K203" s="72">
        <f t="shared" si="103"/>
        <v>0</v>
      </c>
      <c r="L203" s="50">
        <f t="shared" si="103"/>
        <v>0</v>
      </c>
      <c r="M203" s="50">
        <f t="shared" si="103"/>
        <v>3800</v>
      </c>
      <c r="N203" s="72">
        <f t="shared" si="103"/>
        <v>15600</v>
      </c>
      <c r="O203" s="108">
        <f t="shared" si="103"/>
        <v>0</v>
      </c>
      <c r="P203" s="108"/>
      <c r="Q203" s="108">
        <f>Q204+Q205</f>
        <v>0</v>
      </c>
      <c r="R203" s="108">
        <f>R204+R205</f>
        <v>933</v>
      </c>
      <c r="S203" s="77">
        <f>S204+S205</f>
        <v>16533</v>
      </c>
    </row>
    <row r="204" spans="1:19" s="2" customFormat="1" ht="32.25" customHeight="1">
      <c r="A204" s="4" t="s">
        <v>16</v>
      </c>
      <c r="B204" s="5" t="s">
        <v>17</v>
      </c>
      <c r="C204" s="44">
        <v>12400</v>
      </c>
      <c r="D204" s="44">
        <v>-600</v>
      </c>
      <c r="E204" s="44">
        <f>C204+D204</f>
        <v>11800</v>
      </c>
      <c r="F204" s="5" t="s">
        <v>334</v>
      </c>
      <c r="G204" s="5" t="s">
        <v>17</v>
      </c>
      <c r="H204" s="44">
        <v>12400</v>
      </c>
      <c r="I204" s="44">
        <v>-600</v>
      </c>
      <c r="J204" s="44">
        <f>H204+I204</f>
        <v>11800</v>
      </c>
      <c r="K204" s="70"/>
      <c r="L204" s="44"/>
      <c r="M204" s="44">
        <v>3800</v>
      </c>
      <c r="N204" s="70">
        <f>J204+M204+L204</f>
        <v>15600</v>
      </c>
      <c r="O204" s="106"/>
      <c r="P204" s="106"/>
      <c r="Q204" s="70">
        <v>-1362.14</v>
      </c>
      <c r="R204" s="44">
        <f>-406.87+933</f>
        <v>526.13</v>
      </c>
      <c r="S204" s="76">
        <v>13997.67</v>
      </c>
    </row>
    <row r="205" spans="1:19" s="2" customFormat="1" ht="54.75" customHeight="1">
      <c r="A205" s="4" t="s">
        <v>146</v>
      </c>
      <c r="B205" s="5"/>
      <c r="C205" s="44"/>
      <c r="D205" s="44"/>
      <c r="E205" s="44"/>
      <c r="F205" s="5" t="s">
        <v>334</v>
      </c>
      <c r="G205" s="5" t="s">
        <v>48</v>
      </c>
      <c r="H205" s="44"/>
      <c r="I205" s="44"/>
      <c r="J205" s="44"/>
      <c r="K205" s="70"/>
      <c r="L205" s="44"/>
      <c r="M205" s="44"/>
      <c r="N205" s="70"/>
      <c r="O205" s="106"/>
      <c r="P205" s="106"/>
      <c r="Q205" s="70">
        <v>1362.14</v>
      </c>
      <c r="R205" s="44">
        <v>406.87</v>
      </c>
      <c r="S205" s="76">
        <v>2535.33</v>
      </c>
    </row>
    <row r="206" spans="1:19" s="2" customFormat="1" ht="68.25" customHeight="1">
      <c r="A206" s="10" t="s">
        <v>425</v>
      </c>
      <c r="B206" s="9"/>
      <c r="C206" s="42" t="e">
        <f>#REF!+C207+C222</f>
        <v>#REF!</v>
      </c>
      <c r="D206" s="42" t="e">
        <f>#REF!+D207+D222+D233+D245</f>
        <v>#REF!</v>
      </c>
      <c r="E206" s="42" t="e">
        <f>#REF!+E207+E222+E233+E245</f>
        <v>#REF!</v>
      </c>
      <c r="F206" s="9" t="s">
        <v>273</v>
      </c>
      <c r="G206" s="9"/>
      <c r="H206" s="42" t="e">
        <f>#REF!+H207+H222</f>
        <v>#REF!</v>
      </c>
      <c r="I206" s="42" t="e">
        <f>#REF!+I207+I222+I233+I245</f>
        <v>#REF!</v>
      </c>
      <c r="J206" s="42" t="e">
        <f>#REF!+J207+J222+J233+J245+J213+J216+J219</f>
        <v>#REF!</v>
      </c>
      <c r="K206" s="42" t="e">
        <f>#REF!+K207+K222+K233+K245+K213+K216+K219+K242</f>
        <v>#REF!</v>
      </c>
      <c r="L206" s="42" t="e">
        <f>#REF!+L207+L222+L233+L245+L213+L216+L219+L242</f>
        <v>#REF!</v>
      </c>
      <c r="M206" s="42" t="e">
        <f>#REF!+M207+M222+M233+M245+M213+M216+M219+M242</f>
        <v>#REF!</v>
      </c>
      <c r="N206" s="68" t="e">
        <f>#REF!+N207+N222+N233+N245+N213+N216+N219+N242</f>
        <v>#REF!</v>
      </c>
      <c r="O206" s="103" t="e">
        <f>#REF!+O207+O222+O233+O245+O213+O216+O219+O242</f>
        <v>#REF!</v>
      </c>
      <c r="P206" s="103" t="e">
        <f>#REF!+P207+P222+P233+P245+P213+P216+P219+P242</f>
        <v>#REF!</v>
      </c>
      <c r="Q206" s="102" t="e">
        <f>#REF!+Q207+Q222+Q233+Q245+Q213+Q216+Q219+Q242</f>
        <v>#REF!</v>
      </c>
      <c r="R206" s="103" t="e">
        <f>#REF!+R207+R222+R233+R245+R213+R216+R219+R242</f>
        <v>#REF!</v>
      </c>
      <c r="S206" s="75">
        <f>S207+S216+S213+S222+S219</f>
        <v>180142.93999999997</v>
      </c>
    </row>
    <row r="207" spans="1:19" s="2" customFormat="1" ht="71.25" customHeight="1">
      <c r="A207" s="13" t="s">
        <v>156</v>
      </c>
      <c r="B207" s="14"/>
      <c r="C207" s="43">
        <f>C208+C211+C213+C216+C219</f>
        <v>59351.22</v>
      </c>
      <c r="D207" s="43">
        <f>D208+D211+D213+D216+D219</f>
        <v>11560.17</v>
      </c>
      <c r="E207" s="43">
        <f>E208+E211+E213+E216+E219</f>
        <v>70911.39</v>
      </c>
      <c r="F207" s="14" t="s">
        <v>276</v>
      </c>
      <c r="G207" s="14"/>
      <c r="H207" s="43">
        <f>H208+H211+H213+H216+H219</f>
        <v>59351.22</v>
      </c>
      <c r="I207" s="43">
        <f>I208+I211+I213+I216+I219</f>
        <v>11560.17</v>
      </c>
      <c r="J207" s="43">
        <f aca="true" t="shared" si="104" ref="J207:R207">J208+J211</f>
        <v>53211.39</v>
      </c>
      <c r="K207" s="43">
        <f t="shared" si="104"/>
        <v>6418.07</v>
      </c>
      <c r="L207" s="43">
        <f t="shared" si="104"/>
        <v>0</v>
      </c>
      <c r="M207" s="43">
        <f t="shared" si="104"/>
        <v>-501.65</v>
      </c>
      <c r="N207" s="69">
        <f t="shared" si="104"/>
        <v>59127.81</v>
      </c>
      <c r="O207" s="105">
        <f t="shared" si="104"/>
        <v>17960.51</v>
      </c>
      <c r="P207" s="105">
        <f t="shared" si="104"/>
        <v>-6291.3</v>
      </c>
      <c r="Q207" s="104">
        <f t="shared" si="104"/>
        <v>0</v>
      </c>
      <c r="R207" s="105">
        <f t="shared" si="104"/>
        <v>24068.600000000002</v>
      </c>
      <c r="S207" s="73">
        <f>S208+S211</f>
        <v>119263.84</v>
      </c>
    </row>
    <row r="208" spans="1:19" s="2" customFormat="1" ht="45.75" customHeight="1">
      <c r="A208" s="4" t="s">
        <v>157</v>
      </c>
      <c r="B208" s="5"/>
      <c r="C208" s="44">
        <f>C209+C210</f>
        <v>41651</v>
      </c>
      <c r="D208" s="44">
        <f>D209+D210</f>
        <v>11560.17</v>
      </c>
      <c r="E208" s="44">
        <f>E209+E210</f>
        <v>53211.17</v>
      </c>
      <c r="F208" s="5" t="s">
        <v>277</v>
      </c>
      <c r="G208" s="5"/>
      <c r="H208" s="44">
        <f aca="true" t="shared" si="105" ref="H208:S208">H209+H210</f>
        <v>41651</v>
      </c>
      <c r="I208" s="44">
        <f t="shared" si="105"/>
        <v>11560.17</v>
      </c>
      <c r="J208" s="44">
        <f t="shared" si="105"/>
        <v>53211.17</v>
      </c>
      <c r="K208" s="70">
        <f t="shared" si="105"/>
        <v>6418.07</v>
      </c>
      <c r="L208" s="44">
        <f t="shared" si="105"/>
        <v>0</v>
      </c>
      <c r="M208" s="44">
        <f t="shared" si="105"/>
        <v>-501.65</v>
      </c>
      <c r="N208" s="70">
        <f t="shared" si="105"/>
        <v>59127.59</v>
      </c>
      <c r="O208" s="106">
        <f t="shared" si="105"/>
        <v>17960.51</v>
      </c>
      <c r="P208" s="106">
        <f t="shared" si="105"/>
        <v>-6291.3</v>
      </c>
      <c r="Q208" s="106">
        <f t="shared" si="105"/>
        <v>0</v>
      </c>
      <c r="R208" s="107">
        <f t="shared" si="105"/>
        <v>24068.600000000002</v>
      </c>
      <c r="S208" s="76">
        <f t="shared" si="105"/>
        <v>119263.62</v>
      </c>
    </row>
    <row r="209" spans="1:19" s="2" customFormat="1" ht="31.5">
      <c r="A209" s="4" t="s">
        <v>16</v>
      </c>
      <c r="B209" s="5" t="s">
        <v>17</v>
      </c>
      <c r="C209" s="44">
        <f>13500+4610+13500+610+200</f>
        <v>32420</v>
      </c>
      <c r="D209" s="44">
        <f>11563.17-3</f>
        <v>11560.17</v>
      </c>
      <c r="E209" s="44">
        <f>C209+D209</f>
        <v>43980.17</v>
      </c>
      <c r="F209" s="5" t="s">
        <v>277</v>
      </c>
      <c r="G209" s="5" t="s">
        <v>17</v>
      </c>
      <c r="H209" s="44">
        <f>13500+4610+13500+610+200</f>
        <v>32420</v>
      </c>
      <c r="I209" s="44">
        <f>11563.17-3</f>
        <v>11560.17</v>
      </c>
      <c r="J209" s="44">
        <f>H209+I209</f>
        <v>43980.17</v>
      </c>
      <c r="K209" s="78">
        <f>4658.52+135.78+1623.77</f>
        <v>6418.07</v>
      </c>
      <c r="L209" s="44"/>
      <c r="M209" s="44">
        <v>-501.65</v>
      </c>
      <c r="N209" s="70">
        <f>J209+K209+M209</f>
        <v>49896.59</v>
      </c>
      <c r="O209" s="70">
        <v>17960.51</v>
      </c>
      <c r="P209" s="70">
        <v>-6291.3</v>
      </c>
      <c r="Q209" s="70"/>
      <c r="R209" s="44">
        <f>-5211.76+68.6</f>
        <v>-5143.16</v>
      </c>
      <c r="S209" s="76">
        <v>83120.6</v>
      </c>
    </row>
    <row r="210" spans="1:19" s="2" customFormat="1" ht="47.25">
      <c r="A210" s="4" t="s">
        <v>69</v>
      </c>
      <c r="B210" s="5" t="s">
        <v>13</v>
      </c>
      <c r="C210" s="44">
        <f>7431+1800</f>
        <v>9231</v>
      </c>
      <c r="D210" s="44"/>
      <c r="E210" s="44">
        <f>C210+D210</f>
        <v>9231</v>
      </c>
      <c r="F210" s="5" t="s">
        <v>277</v>
      </c>
      <c r="G210" s="5" t="s">
        <v>13</v>
      </c>
      <c r="H210" s="44">
        <f>7431+1800</f>
        <v>9231</v>
      </c>
      <c r="I210" s="44"/>
      <c r="J210" s="44">
        <f>H210+I210</f>
        <v>9231</v>
      </c>
      <c r="K210" s="70"/>
      <c r="L210" s="44"/>
      <c r="M210" s="44"/>
      <c r="N210" s="70">
        <f>J210+K210+M210</f>
        <v>9231</v>
      </c>
      <c r="O210" s="70"/>
      <c r="P210" s="70"/>
      <c r="Q210" s="70"/>
      <c r="R210" s="44">
        <f>5211.76+24000</f>
        <v>29211.760000000002</v>
      </c>
      <c r="S210" s="76">
        <v>36143.02</v>
      </c>
    </row>
    <row r="211" spans="1:19" s="2" customFormat="1" ht="55.5" customHeight="1">
      <c r="A211" s="28" t="s">
        <v>335</v>
      </c>
      <c r="B211" s="29"/>
      <c r="C211" s="50">
        <f>C212</f>
        <v>0.22</v>
      </c>
      <c r="D211" s="50">
        <f>D212</f>
        <v>0</v>
      </c>
      <c r="E211" s="50">
        <f>E212</f>
        <v>0.22</v>
      </c>
      <c r="F211" s="29" t="s">
        <v>367</v>
      </c>
      <c r="G211" s="29"/>
      <c r="H211" s="50">
        <f aca="true" t="shared" si="106" ref="H211:O211">H212</f>
        <v>0.22</v>
      </c>
      <c r="I211" s="50">
        <f t="shared" si="106"/>
        <v>0</v>
      </c>
      <c r="J211" s="50">
        <f t="shared" si="106"/>
        <v>0.22</v>
      </c>
      <c r="K211" s="72">
        <f t="shared" si="106"/>
        <v>0</v>
      </c>
      <c r="L211" s="50">
        <f t="shared" si="106"/>
        <v>0</v>
      </c>
      <c r="M211" s="50">
        <f t="shared" si="106"/>
        <v>0</v>
      </c>
      <c r="N211" s="72">
        <f t="shared" si="106"/>
        <v>0.22</v>
      </c>
      <c r="O211" s="108">
        <f t="shared" si="106"/>
        <v>0</v>
      </c>
      <c r="P211" s="108"/>
      <c r="Q211" s="108">
        <f>Q212</f>
        <v>0</v>
      </c>
      <c r="R211" s="109">
        <f>R212</f>
        <v>0</v>
      </c>
      <c r="S211" s="77">
        <f>S212</f>
        <v>0.22</v>
      </c>
    </row>
    <row r="212" spans="1:19" s="2" customFormat="1" ht="31.5" customHeight="1">
      <c r="A212" s="4" t="s">
        <v>16</v>
      </c>
      <c r="B212" s="5" t="s">
        <v>17</v>
      </c>
      <c r="C212" s="44">
        <v>0.22</v>
      </c>
      <c r="D212" s="44"/>
      <c r="E212" s="44">
        <f>C212+D212</f>
        <v>0.22</v>
      </c>
      <c r="F212" s="5" t="s">
        <v>367</v>
      </c>
      <c r="G212" s="5" t="s">
        <v>17</v>
      </c>
      <c r="H212" s="44">
        <v>0.22</v>
      </c>
      <c r="I212" s="44"/>
      <c r="J212" s="44">
        <f>H212+I212</f>
        <v>0.22</v>
      </c>
      <c r="K212" s="70"/>
      <c r="L212" s="44"/>
      <c r="M212" s="44"/>
      <c r="N212" s="70">
        <f>J212+L212</f>
        <v>0.22</v>
      </c>
      <c r="O212" s="106"/>
      <c r="P212" s="106"/>
      <c r="Q212" s="106"/>
      <c r="R212" s="107"/>
      <c r="S212" s="76">
        <v>0.22</v>
      </c>
    </row>
    <row r="213" spans="1:19" s="2" customFormat="1" ht="51" customHeight="1">
      <c r="A213" s="28" t="s">
        <v>337</v>
      </c>
      <c r="B213" s="29"/>
      <c r="C213" s="50">
        <f>C214</f>
        <v>2000</v>
      </c>
      <c r="D213" s="50">
        <f>D214</f>
        <v>0</v>
      </c>
      <c r="E213" s="50">
        <f>E214</f>
        <v>2000</v>
      </c>
      <c r="F213" s="29" t="s">
        <v>336</v>
      </c>
      <c r="G213" s="29"/>
      <c r="H213" s="50">
        <f aca="true" t="shared" si="107" ref="H213:O213">H214</f>
        <v>2000</v>
      </c>
      <c r="I213" s="50">
        <f t="shared" si="107"/>
        <v>0</v>
      </c>
      <c r="J213" s="50">
        <f t="shared" si="107"/>
        <v>2000</v>
      </c>
      <c r="K213" s="72">
        <f t="shared" si="107"/>
        <v>0</v>
      </c>
      <c r="L213" s="50">
        <f t="shared" si="107"/>
        <v>0</v>
      </c>
      <c r="M213" s="50">
        <f t="shared" si="107"/>
        <v>0</v>
      </c>
      <c r="N213" s="72">
        <f t="shared" si="107"/>
        <v>2000</v>
      </c>
      <c r="O213" s="108">
        <f t="shared" si="107"/>
        <v>790.21</v>
      </c>
      <c r="P213" s="108">
        <f>P214+P215</f>
        <v>3789.9</v>
      </c>
      <c r="Q213" s="108">
        <f>Q214+Q215</f>
        <v>4972.66</v>
      </c>
      <c r="R213" s="108">
        <f>R214+R215</f>
        <v>0</v>
      </c>
      <c r="S213" s="77">
        <f>S214+S215</f>
        <v>12501.68</v>
      </c>
    </row>
    <row r="214" spans="1:19" s="2" customFormat="1" ht="32.25" customHeight="1">
      <c r="A214" s="4" t="s">
        <v>16</v>
      </c>
      <c r="B214" s="5" t="s">
        <v>17</v>
      </c>
      <c r="C214" s="44">
        <v>2000</v>
      </c>
      <c r="D214" s="44"/>
      <c r="E214" s="44">
        <f>C214+D214</f>
        <v>2000</v>
      </c>
      <c r="F214" s="5" t="s">
        <v>336</v>
      </c>
      <c r="G214" s="5" t="s">
        <v>17</v>
      </c>
      <c r="H214" s="44">
        <v>2000</v>
      </c>
      <c r="I214" s="44"/>
      <c r="J214" s="44">
        <f>H214+I214</f>
        <v>2000</v>
      </c>
      <c r="K214" s="70"/>
      <c r="L214" s="44"/>
      <c r="M214" s="44"/>
      <c r="N214" s="70">
        <f>J214+L214</f>
        <v>2000</v>
      </c>
      <c r="O214" s="70">
        <v>790.21</v>
      </c>
      <c r="P214" s="70"/>
      <c r="Q214" s="70">
        <v>4614.97</v>
      </c>
      <c r="R214" s="44"/>
      <c r="S214" s="76">
        <v>7460.38</v>
      </c>
    </row>
    <row r="215" spans="1:19" s="2" customFormat="1" ht="58.5" customHeight="1">
      <c r="A215" s="4" t="s">
        <v>69</v>
      </c>
      <c r="B215" s="5"/>
      <c r="C215" s="44"/>
      <c r="D215" s="44"/>
      <c r="E215" s="44"/>
      <c r="F215" s="5" t="s">
        <v>336</v>
      </c>
      <c r="G215" s="5" t="s">
        <v>13</v>
      </c>
      <c r="H215" s="44"/>
      <c r="I215" s="44"/>
      <c r="J215" s="44"/>
      <c r="K215" s="70"/>
      <c r="L215" s="44"/>
      <c r="M215" s="44"/>
      <c r="N215" s="70"/>
      <c r="O215" s="70"/>
      <c r="P215" s="70">
        <v>3789.9</v>
      </c>
      <c r="Q215" s="70">
        <v>357.69</v>
      </c>
      <c r="R215" s="44"/>
      <c r="S215" s="76">
        <v>5041.3</v>
      </c>
    </row>
    <row r="216" spans="1:19" s="2" customFormat="1" ht="33.75" customHeight="1">
      <c r="A216" s="13" t="s">
        <v>267</v>
      </c>
      <c r="B216" s="14"/>
      <c r="C216" s="43">
        <f>C218</f>
        <v>13000</v>
      </c>
      <c r="D216" s="43">
        <f>D218</f>
        <v>0</v>
      </c>
      <c r="E216" s="43">
        <f>E218</f>
        <v>13000</v>
      </c>
      <c r="F216" s="14" t="s">
        <v>278</v>
      </c>
      <c r="G216" s="14"/>
      <c r="H216" s="43">
        <f aca="true" t="shared" si="108" ref="H216:O216">H218</f>
        <v>13000</v>
      </c>
      <c r="I216" s="43">
        <f t="shared" si="108"/>
        <v>0</v>
      </c>
      <c r="J216" s="43">
        <f t="shared" si="108"/>
        <v>13000</v>
      </c>
      <c r="K216" s="69">
        <f t="shared" si="108"/>
        <v>0</v>
      </c>
      <c r="L216" s="43">
        <f t="shared" si="108"/>
        <v>0</v>
      </c>
      <c r="M216" s="43">
        <f t="shared" si="108"/>
        <v>0</v>
      </c>
      <c r="N216" s="104">
        <f t="shared" si="108"/>
        <v>13000</v>
      </c>
      <c r="O216" s="104">
        <f t="shared" si="108"/>
        <v>0</v>
      </c>
      <c r="P216" s="104"/>
      <c r="Q216" s="104">
        <f>Q218</f>
        <v>0</v>
      </c>
      <c r="R216" s="105">
        <f>R218</f>
        <v>0</v>
      </c>
      <c r="S216" s="73">
        <f>S218</f>
        <v>13000</v>
      </c>
    </row>
    <row r="217" spans="1:19" s="2" customFormat="1" ht="27.75" customHeight="1">
      <c r="A217" s="4" t="s">
        <v>158</v>
      </c>
      <c r="B217" s="5"/>
      <c r="C217" s="44">
        <f>C218</f>
        <v>13000</v>
      </c>
      <c r="D217" s="44">
        <f>D218</f>
        <v>0</v>
      </c>
      <c r="E217" s="44">
        <f>E218</f>
        <v>13000</v>
      </c>
      <c r="F217" s="5" t="s">
        <v>279</v>
      </c>
      <c r="G217" s="5"/>
      <c r="H217" s="44">
        <f>H218</f>
        <v>13000</v>
      </c>
      <c r="I217" s="44">
        <f>I218</f>
        <v>0</v>
      </c>
      <c r="J217" s="44">
        <f>J218</f>
        <v>13000</v>
      </c>
      <c r="K217" s="70"/>
      <c r="L217" s="44"/>
      <c r="M217" s="44"/>
      <c r="N217" s="106">
        <f>N218</f>
        <v>13000</v>
      </c>
      <c r="O217" s="106"/>
      <c r="P217" s="106"/>
      <c r="Q217" s="106"/>
      <c r="R217" s="107"/>
      <c r="S217" s="76">
        <f>S218</f>
        <v>13000</v>
      </c>
    </row>
    <row r="218" spans="1:19" s="2" customFormat="1" ht="38.25" customHeight="1">
      <c r="A218" s="4" t="s">
        <v>16</v>
      </c>
      <c r="B218" s="5" t="s">
        <v>17</v>
      </c>
      <c r="C218" s="44">
        <v>13000</v>
      </c>
      <c r="D218" s="44"/>
      <c r="E218" s="44">
        <v>13000</v>
      </c>
      <c r="F218" s="5" t="s">
        <v>279</v>
      </c>
      <c r="G218" s="5" t="s">
        <v>17</v>
      </c>
      <c r="H218" s="44">
        <v>13000</v>
      </c>
      <c r="I218" s="44"/>
      <c r="J218" s="44">
        <v>13000</v>
      </c>
      <c r="K218" s="70"/>
      <c r="L218" s="44"/>
      <c r="M218" s="44"/>
      <c r="N218" s="70">
        <f>J218+M218</f>
        <v>13000</v>
      </c>
      <c r="O218" s="106"/>
      <c r="P218" s="106"/>
      <c r="Q218" s="106"/>
      <c r="R218" s="107"/>
      <c r="S218" s="76">
        <v>13000</v>
      </c>
    </row>
    <row r="219" spans="1:19" s="2" customFormat="1" ht="74.25" customHeight="1">
      <c r="A219" s="13" t="s">
        <v>159</v>
      </c>
      <c r="B219" s="14"/>
      <c r="C219" s="43">
        <f aca="true" t="shared" si="109" ref="C219:E220">C220</f>
        <v>2700</v>
      </c>
      <c r="D219" s="43">
        <f t="shared" si="109"/>
        <v>0</v>
      </c>
      <c r="E219" s="43">
        <f t="shared" si="109"/>
        <v>2700</v>
      </c>
      <c r="F219" s="14" t="s">
        <v>280</v>
      </c>
      <c r="G219" s="14"/>
      <c r="H219" s="43">
        <f aca="true" t="shared" si="110" ref="H219:O220">H220</f>
        <v>2700</v>
      </c>
      <c r="I219" s="43">
        <f t="shared" si="110"/>
        <v>0</v>
      </c>
      <c r="J219" s="43">
        <f t="shared" si="110"/>
        <v>2700</v>
      </c>
      <c r="K219" s="69">
        <f t="shared" si="110"/>
        <v>0</v>
      </c>
      <c r="L219" s="43">
        <f t="shared" si="110"/>
        <v>0</v>
      </c>
      <c r="M219" s="43">
        <f t="shared" si="110"/>
        <v>6843.87</v>
      </c>
      <c r="N219" s="69">
        <f t="shared" si="110"/>
        <v>9543.869999999999</v>
      </c>
      <c r="O219" s="104">
        <f t="shared" si="110"/>
        <v>1387.23</v>
      </c>
      <c r="P219" s="104"/>
      <c r="Q219" s="104">
        <f aca="true" t="shared" si="111" ref="Q219:S220">Q220</f>
        <v>0</v>
      </c>
      <c r="R219" s="105">
        <f t="shared" si="111"/>
        <v>0</v>
      </c>
      <c r="S219" s="73">
        <f t="shared" si="111"/>
        <v>14328.52</v>
      </c>
    </row>
    <row r="220" spans="1:19" s="2" customFormat="1" ht="36" customHeight="1">
      <c r="A220" s="4" t="s">
        <v>160</v>
      </c>
      <c r="B220" s="5"/>
      <c r="C220" s="44">
        <f t="shared" si="109"/>
        <v>2700</v>
      </c>
      <c r="D220" s="44">
        <f t="shared" si="109"/>
        <v>0</v>
      </c>
      <c r="E220" s="44">
        <f t="shared" si="109"/>
        <v>2700</v>
      </c>
      <c r="F220" s="5" t="s">
        <v>281</v>
      </c>
      <c r="G220" s="5"/>
      <c r="H220" s="44">
        <f t="shared" si="110"/>
        <v>2700</v>
      </c>
      <c r="I220" s="44">
        <f t="shared" si="110"/>
        <v>0</v>
      </c>
      <c r="J220" s="44">
        <f t="shared" si="110"/>
        <v>2700</v>
      </c>
      <c r="K220" s="70">
        <f t="shared" si="110"/>
        <v>0</v>
      </c>
      <c r="L220" s="44">
        <f t="shared" si="110"/>
        <v>0</v>
      </c>
      <c r="M220" s="44">
        <f t="shared" si="110"/>
        <v>6843.87</v>
      </c>
      <c r="N220" s="70">
        <f t="shared" si="110"/>
        <v>9543.869999999999</v>
      </c>
      <c r="O220" s="106">
        <f t="shared" si="110"/>
        <v>1387.23</v>
      </c>
      <c r="P220" s="106"/>
      <c r="Q220" s="106">
        <f t="shared" si="111"/>
        <v>0</v>
      </c>
      <c r="R220" s="107">
        <f t="shared" si="111"/>
        <v>0</v>
      </c>
      <c r="S220" s="76">
        <f t="shared" si="111"/>
        <v>14328.52</v>
      </c>
    </row>
    <row r="221" spans="1:19" s="2" customFormat="1" ht="37.5" customHeight="1">
      <c r="A221" s="4" t="s">
        <v>16</v>
      </c>
      <c r="B221" s="5" t="s">
        <v>17</v>
      </c>
      <c r="C221" s="44">
        <v>2700</v>
      </c>
      <c r="D221" s="44"/>
      <c r="E221" s="44">
        <f>C221+D221</f>
        <v>2700</v>
      </c>
      <c r="F221" s="5" t="s">
        <v>281</v>
      </c>
      <c r="G221" s="5" t="s">
        <v>17</v>
      </c>
      <c r="H221" s="44">
        <v>2700</v>
      </c>
      <c r="I221" s="44"/>
      <c r="J221" s="44">
        <f>H221+I221</f>
        <v>2700</v>
      </c>
      <c r="K221" s="70"/>
      <c r="L221" s="44"/>
      <c r="M221" s="44">
        <v>6843.87</v>
      </c>
      <c r="N221" s="70">
        <f>J221+M221</f>
        <v>9543.869999999999</v>
      </c>
      <c r="O221" s="70">
        <v>1387.23</v>
      </c>
      <c r="P221" s="70"/>
      <c r="Q221" s="70"/>
      <c r="R221" s="44">
        <v>0</v>
      </c>
      <c r="S221" s="76">
        <v>14328.52</v>
      </c>
    </row>
    <row r="222" spans="1:19" s="2" customFormat="1" ht="61.5" customHeight="1">
      <c r="A222" s="13" t="s">
        <v>404</v>
      </c>
      <c r="B222" s="14"/>
      <c r="C222" s="43">
        <f>C223</f>
        <v>20048.9</v>
      </c>
      <c r="D222" s="43">
        <f>D223</f>
        <v>0</v>
      </c>
      <c r="E222" s="43">
        <f>E223</f>
        <v>20048.9</v>
      </c>
      <c r="F222" s="14" t="s">
        <v>282</v>
      </c>
      <c r="G222" s="14"/>
      <c r="H222" s="43">
        <f aca="true" t="shared" si="112" ref="H222:O222">H223</f>
        <v>20048.9</v>
      </c>
      <c r="I222" s="43">
        <f t="shared" si="112"/>
        <v>0</v>
      </c>
      <c r="J222" s="43">
        <f t="shared" si="112"/>
        <v>20048.9</v>
      </c>
      <c r="K222" s="69">
        <f t="shared" si="112"/>
        <v>0</v>
      </c>
      <c r="L222" s="43">
        <f t="shared" si="112"/>
        <v>0</v>
      </c>
      <c r="M222" s="43">
        <f t="shared" si="112"/>
        <v>0</v>
      </c>
      <c r="N222" s="69">
        <f t="shared" si="112"/>
        <v>20048.9</v>
      </c>
      <c r="O222" s="104">
        <f t="shared" si="112"/>
        <v>0</v>
      </c>
      <c r="P222" s="104"/>
      <c r="Q222" s="104">
        <f>Q223</f>
        <v>0</v>
      </c>
      <c r="R222" s="105">
        <f>R223</f>
        <v>1000</v>
      </c>
      <c r="S222" s="73">
        <f>S223</f>
        <v>21048.899999999998</v>
      </c>
    </row>
    <row r="223" spans="1:19" s="2" customFormat="1" ht="50.25" customHeight="1">
      <c r="A223" s="4" t="s">
        <v>405</v>
      </c>
      <c r="B223" s="5"/>
      <c r="C223" s="44">
        <f>C224+C225</f>
        <v>20048.9</v>
      </c>
      <c r="D223" s="44">
        <f>D224+D225</f>
        <v>0</v>
      </c>
      <c r="E223" s="44">
        <f>E224+E225</f>
        <v>20048.9</v>
      </c>
      <c r="F223" s="5" t="s">
        <v>283</v>
      </c>
      <c r="G223" s="5"/>
      <c r="H223" s="44">
        <f>H224+H225</f>
        <v>20048.9</v>
      </c>
      <c r="I223" s="44">
        <f>I224+I225</f>
        <v>0</v>
      </c>
      <c r="J223" s="44">
        <f>J224+J225</f>
        <v>20048.9</v>
      </c>
      <c r="K223" s="70">
        <f>K224+K225</f>
        <v>0</v>
      </c>
      <c r="L223" s="44">
        <f>L224+L225</f>
        <v>0</v>
      </c>
      <c r="M223" s="44">
        <f>M224+M225+M226</f>
        <v>0</v>
      </c>
      <c r="N223" s="70">
        <f>N224+N225+N226</f>
        <v>20048.9</v>
      </c>
      <c r="O223" s="106">
        <f>O224+O225</f>
        <v>0</v>
      </c>
      <c r="P223" s="106"/>
      <c r="Q223" s="106">
        <f>Q224+Q225</f>
        <v>0</v>
      </c>
      <c r="R223" s="107">
        <f>R224+R225+R226</f>
        <v>1000</v>
      </c>
      <c r="S223" s="76">
        <f>S224+S225+S226</f>
        <v>21048.899999999998</v>
      </c>
    </row>
    <row r="224" spans="1:19" s="2" customFormat="1" ht="98.25" customHeight="1">
      <c r="A224" s="4" t="s">
        <v>59</v>
      </c>
      <c r="B224" s="5" t="s">
        <v>15</v>
      </c>
      <c r="C224" s="44">
        <f>12588.4+3802</f>
        <v>16390.4</v>
      </c>
      <c r="D224" s="44"/>
      <c r="E224" s="44">
        <f>C224+D224</f>
        <v>16390.4</v>
      </c>
      <c r="F224" s="5" t="s">
        <v>283</v>
      </c>
      <c r="G224" s="5" t="s">
        <v>15</v>
      </c>
      <c r="H224" s="44">
        <f>12588.4+3802</f>
        <v>16390.4</v>
      </c>
      <c r="I224" s="44"/>
      <c r="J224" s="44">
        <f>H224+I224</f>
        <v>16390.4</v>
      </c>
      <c r="K224" s="70"/>
      <c r="L224" s="44"/>
      <c r="M224" s="44">
        <v>-39.2</v>
      </c>
      <c r="N224" s="70">
        <f>J224+M224</f>
        <v>16351.2</v>
      </c>
      <c r="O224" s="70"/>
      <c r="P224" s="70"/>
      <c r="Q224" s="70"/>
      <c r="R224" s="44"/>
      <c r="S224" s="76">
        <v>16351.2</v>
      </c>
    </row>
    <row r="225" spans="1:19" s="2" customFormat="1" ht="38.25" customHeight="1">
      <c r="A225" s="4" t="s">
        <v>16</v>
      </c>
      <c r="B225" s="5" t="s">
        <v>17</v>
      </c>
      <c r="C225" s="44">
        <v>3658.5</v>
      </c>
      <c r="D225" s="44"/>
      <c r="E225" s="44">
        <f>C225+D225</f>
        <v>3658.5</v>
      </c>
      <c r="F225" s="5" t="s">
        <v>283</v>
      </c>
      <c r="G225" s="5" t="s">
        <v>17</v>
      </c>
      <c r="H225" s="44">
        <v>3658.5</v>
      </c>
      <c r="I225" s="44"/>
      <c r="J225" s="44">
        <f>H225+I225</f>
        <v>3658.5</v>
      </c>
      <c r="K225" s="70"/>
      <c r="L225" s="44"/>
      <c r="M225" s="44">
        <v>24.3</v>
      </c>
      <c r="N225" s="70">
        <f>J225+M225</f>
        <v>3682.8</v>
      </c>
      <c r="O225" s="70"/>
      <c r="P225" s="70"/>
      <c r="Q225" s="70"/>
      <c r="R225" s="44">
        <f>-3.3+1000</f>
        <v>996.7</v>
      </c>
      <c r="S225" s="76">
        <f>4670.03-1.5</f>
        <v>4668.53</v>
      </c>
    </row>
    <row r="226" spans="1:19" s="2" customFormat="1" ht="25.5" customHeight="1">
      <c r="A226" s="4" t="s">
        <v>58</v>
      </c>
      <c r="B226" s="5"/>
      <c r="C226" s="44"/>
      <c r="D226" s="44"/>
      <c r="E226" s="44"/>
      <c r="F226" s="5" t="s">
        <v>283</v>
      </c>
      <c r="G226" s="5" t="s">
        <v>19</v>
      </c>
      <c r="H226" s="44"/>
      <c r="I226" s="44"/>
      <c r="J226" s="44"/>
      <c r="K226" s="70"/>
      <c r="L226" s="44"/>
      <c r="M226" s="44">
        <v>14.9</v>
      </c>
      <c r="N226" s="70">
        <f>M226</f>
        <v>14.9</v>
      </c>
      <c r="O226" s="70"/>
      <c r="P226" s="70"/>
      <c r="Q226" s="70"/>
      <c r="R226" s="44">
        <v>3.3</v>
      </c>
      <c r="S226" s="76">
        <f>27.67+1.5</f>
        <v>29.17</v>
      </c>
    </row>
    <row r="227" spans="1:19" s="2" customFormat="1" ht="61.5" customHeight="1">
      <c r="A227" s="10" t="s">
        <v>424</v>
      </c>
      <c r="B227" s="9"/>
      <c r="C227" s="42"/>
      <c r="D227" s="42"/>
      <c r="E227" s="42"/>
      <c r="F227" s="9" t="s">
        <v>273</v>
      </c>
      <c r="G227" s="9"/>
      <c r="H227" s="42"/>
      <c r="I227" s="42"/>
      <c r="J227" s="42"/>
      <c r="K227" s="68"/>
      <c r="L227" s="42"/>
      <c r="M227" s="42"/>
      <c r="N227" s="68"/>
      <c r="O227" s="68"/>
      <c r="P227" s="68"/>
      <c r="Q227" s="68"/>
      <c r="R227" s="42"/>
      <c r="S227" s="75">
        <f>S228+S233+S245+S242</f>
        <v>46387.159999999996</v>
      </c>
    </row>
    <row r="228" spans="1:19" s="2" customFormat="1" ht="39" customHeight="1">
      <c r="A228" s="13" t="s">
        <v>42</v>
      </c>
      <c r="B228" s="14"/>
      <c r="C228" s="43">
        <f>C229</f>
        <v>2000</v>
      </c>
      <c r="D228" s="43">
        <f>D229+D231</f>
        <v>890.49</v>
      </c>
      <c r="E228" s="43">
        <f>E229+E231</f>
        <v>2890.49</v>
      </c>
      <c r="F228" s="14" t="s">
        <v>274</v>
      </c>
      <c r="G228" s="14"/>
      <c r="H228" s="43">
        <f>H229</f>
        <v>2000</v>
      </c>
      <c r="I228" s="43">
        <f aca="true" t="shared" si="113" ref="I228:O228">I229+I231</f>
        <v>890.49</v>
      </c>
      <c r="J228" s="43">
        <f t="shared" si="113"/>
        <v>2890.49</v>
      </c>
      <c r="K228" s="43">
        <f t="shared" si="113"/>
        <v>0</v>
      </c>
      <c r="L228" s="43">
        <f t="shared" si="113"/>
        <v>0</v>
      </c>
      <c r="M228" s="43">
        <f t="shared" si="113"/>
        <v>96.3</v>
      </c>
      <c r="N228" s="69">
        <f t="shared" si="113"/>
        <v>2986.79</v>
      </c>
      <c r="O228" s="105">
        <f t="shared" si="113"/>
        <v>43.6</v>
      </c>
      <c r="P228" s="105"/>
      <c r="Q228" s="104">
        <f>Q229+Q231</f>
        <v>0</v>
      </c>
      <c r="R228" s="105">
        <f>R229+R231</f>
        <v>0</v>
      </c>
      <c r="S228" s="73">
        <f>S229+S231</f>
        <v>7374.69</v>
      </c>
    </row>
    <row r="229" spans="1:19" s="2" customFormat="1" ht="37.5" customHeight="1">
      <c r="A229" s="4" t="s">
        <v>155</v>
      </c>
      <c r="B229" s="5"/>
      <c r="C229" s="44">
        <f>C230</f>
        <v>2000</v>
      </c>
      <c r="D229" s="44">
        <f>D230</f>
        <v>0</v>
      </c>
      <c r="E229" s="44">
        <f>E230</f>
        <v>2000</v>
      </c>
      <c r="F229" s="5" t="s">
        <v>275</v>
      </c>
      <c r="G229" s="5"/>
      <c r="H229" s="44">
        <f>H230</f>
        <v>2000</v>
      </c>
      <c r="I229" s="44">
        <f aca="true" t="shared" si="114" ref="I229:O229">I230</f>
        <v>0</v>
      </c>
      <c r="J229" s="44">
        <f t="shared" si="114"/>
        <v>2000</v>
      </c>
      <c r="K229" s="44">
        <f t="shared" si="114"/>
        <v>0</v>
      </c>
      <c r="L229" s="44">
        <f t="shared" si="114"/>
        <v>0</v>
      </c>
      <c r="M229" s="44">
        <f t="shared" si="114"/>
        <v>0</v>
      </c>
      <c r="N229" s="70">
        <f t="shared" si="114"/>
        <v>2000</v>
      </c>
      <c r="O229" s="107">
        <f t="shared" si="114"/>
        <v>0</v>
      </c>
      <c r="P229" s="107"/>
      <c r="Q229" s="106">
        <f>Q230</f>
        <v>0</v>
      </c>
      <c r="R229" s="107">
        <f>R230</f>
        <v>0</v>
      </c>
      <c r="S229" s="76">
        <f>S230</f>
        <v>2000</v>
      </c>
    </row>
    <row r="230" spans="1:19" s="2" customFormat="1" ht="39" customHeight="1">
      <c r="A230" s="4" t="s">
        <v>16</v>
      </c>
      <c r="B230" s="5" t="s">
        <v>17</v>
      </c>
      <c r="C230" s="44">
        <v>2000</v>
      </c>
      <c r="D230" s="44"/>
      <c r="E230" s="44">
        <f aca="true" t="shared" si="115" ref="E230:E235">C230+D230</f>
        <v>2000</v>
      </c>
      <c r="F230" s="5" t="s">
        <v>275</v>
      </c>
      <c r="G230" s="5" t="s">
        <v>17</v>
      </c>
      <c r="H230" s="44">
        <v>2000</v>
      </c>
      <c r="I230" s="44"/>
      <c r="J230" s="44">
        <f>H230+I230</f>
        <v>2000</v>
      </c>
      <c r="K230" s="44"/>
      <c r="L230" s="44"/>
      <c r="M230" s="44"/>
      <c r="N230" s="70">
        <f>J230+M230+K230</f>
        <v>2000</v>
      </c>
      <c r="O230" s="107"/>
      <c r="P230" s="107"/>
      <c r="Q230" s="106"/>
      <c r="R230" s="107"/>
      <c r="S230" s="76">
        <v>2000</v>
      </c>
    </row>
    <row r="231" spans="1:19" s="2" customFormat="1" ht="25.5" customHeight="1">
      <c r="A231" s="4" t="s">
        <v>298</v>
      </c>
      <c r="B231" s="5"/>
      <c r="C231" s="44"/>
      <c r="D231" s="44">
        <f>D232</f>
        <v>890.49</v>
      </c>
      <c r="E231" s="44">
        <f t="shared" si="115"/>
        <v>890.49</v>
      </c>
      <c r="F231" s="5" t="s">
        <v>299</v>
      </c>
      <c r="G231" s="5"/>
      <c r="H231" s="44"/>
      <c r="I231" s="44">
        <f aca="true" t="shared" si="116" ref="I231:O231">I232</f>
        <v>890.49</v>
      </c>
      <c r="J231" s="44">
        <f t="shared" si="116"/>
        <v>890.49</v>
      </c>
      <c r="K231" s="70">
        <f t="shared" si="116"/>
        <v>0</v>
      </c>
      <c r="L231" s="44">
        <f t="shared" si="116"/>
        <v>0</v>
      </c>
      <c r="M231" s="44">
        <f t="shared" si="116"/>
        <v>96.3</v>
      </c>
      <c r="N231" s="70">
        <f t="shared" si="116"/>
        <v>986.79</v>
      </c>
      <c r="O231" s="106">
        <f t="shared" si="116"/>
        <v>43.6</v>
      </c>
      <c r="P231" s="106"/>
      <c r="Q231" s="106">
        <f>Q232</f>
        <v>0</v>
      </c>
      <c r="R231" s="107">
        <f>R232</f>
        <v>0</v>
      </c>
      <c r="S231" s="76">
        <f>S232</f>
        <v>5374.69</v>
      </c>
    </row>
    <row r="232" spans="1:19" s="2" customFormat="1" ht="37.5" customHeight="1">
      <c r="A232" s="4" t="s">
        <v>16</v>
      </c>
      <c r="B232" s="5" t="s">
        <v>17</v>
      </c>
      <c r="C232" s="44"/>
      <c r="D232" s="44">
        <v>890.49</v>
      </c>
      <c r="E232" s="44">
        <f t="shared" si="115"/>
        <v>890.49</v>
      </c>
      <c r="F232" s="5" t="s">
        <v>299</v>
      </c>
      <c r="G232" s="5" t="s">
        <v>17</v>
      </c>
      <c r="H232" s="44"/>
      <c r="I232" s="44">
        <v>890.49</v>
      </c>
      <c r="J232" s="44">
        <f>H232+I232</f>
        <v>890.49</v>
      </c>
      <c r="K232" s="70"/>
      <c r="L232" s="44"/>
      <c r="M232" s="44">
        <v>96.3</v>
      </c>
      <c r="N232" s="70">
        <f>J232+K232+M232</f>
        <v>986.79</v>
      </c>
      <c r="O232" s="70">
        <v>43.6</v>
      </c>
      <c r="P232" s="70"/>
      <c r="Q232" s="106"/>
      <c r="R232" s="107"/>
      <c r="S232" s="76">
        <v>5374.69</v>
      </c>
    </row>
    <row r="233" spans="1:19" s="2" customFormat="1" ht="39" customHeight="1">
      <c r="A233" s="13" t="s">
        <v>300</v>
      </c>
      <c r="B233" s="14"/>
      <c r="C233" s="43"/>
      <c r="D233" s="43">
        <f>D234</f>
        <v>5092.5</v>
      </c>
      <c r="E233" s="43">
        <f t="shared" si="115"/>
        <v>5092.5</v>
      </c>
      <c r="F233" s="14" t="s">
        <v>301</v>
      </c>
      <c r="G233" s="14"/>
      <c r="H233" s="43"/>
      <c r="I233" s="43">
        <f>I234</f>
        <v>5092.5</v>
      </c>
      <c r="J233" s="43">
        <f>J234</f>
        <v>5086.5</v>
      </c>
      <c r="K233" s="69">
        <f>K234+K238+K240</f>
        <v>672.07</v>
      </c>
      <c r="L233" s="43">
        <f>L234+L238+L240</f>
        <v>2723.86</v>
      </c>
      <c r="M233" s="43">
        <f>M234+M238+M240</f>
        <v>6169.740000000001</v>
      </c>
      <c r="N233" s="69">
        <f>N234+N238+N240</f>
        <v>14652.170000000002</v>
      </c>
      <c r="O233" s="104">
        <f>O234+O238+O240</f>
        <v>969.14</v>
      </c>
      <c r="P233" s="104"/>
      <c r="Q233" s="104">
        <f>Q234+Q238+Q240</f>
        <v>0</v>
      </c>
      <c r="R233" s="105">
        <f>R234+R238+R240</f>
        <v>0</v>
      </c>
      <c r="S233" s="73">
        <f>S234+S238+S240</f>
        <v>19601.18</v>
      </c>
    </row>
    <row r="234" spans="1:19" s="2" customFormat="1" ht="21" customHeight="1">
      <c r="A234" s="4" t="s">
        <v>302</v>
      </c>
      <c r="B234" s="5"/>
      <c r="C234" s="44"/>
      <c r="D234" s="44">
        <f>D235</f>
        <v>5092.5</v>
      </c>
      <c r="E234" s="44">
        <f t="shared" si="115"/>
        <v>5092.5</v>
      </c>
      <c r="F234" s="5" t="s">
        <v>303</v>
      </c>
      <c r="G234" s="5"/>
      <c r="H234" s="44"/>
      <c r="I234" s="44">
        <f>I235</f>
        <v>5092.5</v>
      </c>
      <c r="J234" s="44">
        <f aca="true" t="shared" si="117" ref="J234:O234">J235+J237</f>
        <v>5086.5</v>
      </c>
      <c r="K234" s="70">
        <f t="shared" si="117"/>
        <v>91.36</v>
      </c>
      <c r="L234" s="44">
        <f t="shared" si="117"/>
        <v>0</v>
      </c>
      <c r="M234" s="44">
        <f t="shared" si="117"/>
        <v>1380.6000000000001</v>
      </c>
      <c r="N234" s="67">
        <f t="shared" si="117"/>
        <v>6558.46</v>
      </c>
      <c r="O234" s="100">
        <f t="shared" si="117"/>
        <v>969.14</v>
      </c>
      <c r="P234" s="100"/>
      <c r="Q234" s="100">
        <f>Q235+Q237</f>
        <v>0</v>
      </c>
      <c r="R234" s="101">
        <f>R235+R237+R236</f>
        <v>0</v>
      </c>
      <c r="S234" s="71">
        <f>S235+S237+S236</f>
        <v>11507.47</v>
      </c>
    </row>
    <row r="235" spans="1:19" s="2" customFormat="1" ht="38.25" customHeight="1">
      <c r="A235" s="4" t="s">
        <v>16</v>
      </c>
      <c r="B235" s="5" t="s">
        <v>17</v>
      </c>
      <c r="C235" s="44"/>
      <c r="D235" s="44">
        <v>5092.5</v>
      </c>
      <c r="E235" s="44">
        <f t="shared" si="115"/>
        <v>5092.5</v>
      </c>
      <c r="F235" s="5" t="s">
        <v>303</v>
      </c>
      <c r="G235" s="5" t="s">
        <v>17</v>
      </c>
      <c r="H235" s="44"/>
      <c r="I235" s="44">
        <v>5092.5</v>
      </c>
      <c r="J235" s="44">
        <f>H235+I235-1282.2-6</f>
        <v>3804.3</v>
      </c>
      <c r="K235" s="70">
        <v>91.36</v>
      </c>
      <c r="L235" s="44"/>
      <c r="M235" s="44">
        <f>1282.2+98.4</f>
        <v>1380.6000000000001</v>
      </c>
      <c r="N235" s="81">
        <f>K235+L235+M235+J235</f>
        <v>5276.26</v>
      </c>
      <c r="O235" s="81">
        <v>969.14</v>
      </c>
      <c r="P235" s="81"/>
      <c r="Q235" s="81"/>
      <c r="R235" s="51"/>
      <c r="S235" s="74">
        <v>9755.91</v>
      </c>
    </row>
    <row r="236" spans="1:19" s="2" customFormat="1" ht="48.75" customHeight="1">
      <c r="A236" s="4" t="s">
        <v>146</v>
      </c>
      <c r="B236" s="5"/>
      <c r="C236" s="44"/>
      <c r="D236" s="44"/>
      <c r="E236" s="44"/>
      <c r="F236" s="5" t="s">
        <v>303</v>
      </c>
      <c r="G236" s="5" t="s">
        <v>48</v>
      </c>
      <c r="H236" s="44"/>
      <c r="I236" s="44"/>
      <c r="J236" s="44"/>
      <c r="K236" s="70"/>
      <c r="L236" s="44"/>
      <c r="M236" s="44"/>
      <c r="N236" s="81"/>
      <c r="O236" s="81"/>
      <c r="P236" s="81"/>
      <c r="Q236" s="81"/>
      <c r="R236" s="51"/>
      <c r="S236" s="74">
        <v>469.44</v>
      </c>
    </row>
    <row r="237" spans="1:19" s="2" customFormat="1" ht="29.25" customHeight="1">
      <c r="A237" s="4" t="s">
        <v>58</v>
      </c>
      <c r="B237" s="5" t="s">
        <v>19</v>
      </c>
      <c r="C237" s="44"/>
      <c r="D237" s="44">
        <v>3000</v>
      </c>
      <c r="E237" s="44">
        <f>C237+D237</f>
        <v>3000</v>
      </c>
      <c r="F237" s="5" t="s">
        <v>303</v>
      </c>
      <c r="G237" s="5" t="s">
        <v>19</v>
      </c>
      <c r="H237" s="44"/>
      <c r="I237" s="44"/>
      <c r="J237" s="44">
        <v>1282.2</v>
      </c>
      <c r="K237" s="70"/>
      <c r="L237" s="44"/>
      <c r="M237" s="44"/>
      <c r="N237" s="81">
        <f>K237+L237+M237+J237</f>
        <v>1282.2</v>
      </c>
      <c r="O237" s="81"/>
      <c r="P237" s="81"/>
      <c r="Q237" s="81"/>
      <c r="R237" s="51"/>
      <c r="S237" s="74">
        <v>1282.12</v>
      </c>
    </row>
    <row r="238" spans="1:19" s="2" customFormat="1" ht="36.75" customHeight="1">
      <c r="A238" s="13" t="s">
        <v>390</v>
      </c>
      <c r="B238" s="14"/>
      <c r="C238" s="43"/>
      <c r="D238" s="43"/>
      <c r="E238" s="43"/>
      <c r="F238" s="14" t="s">
        <v>391</v>
      </c>
      <c r="G238" s="14"/>
      <c r="H238" s="43"/>
      <c r="I238" s="43"/>
      <c r="J238" s="43"/>
      <c r="K238" s="69">
        <f>K239</f>
        <v>580.71</v>
      </c>
      <c r="L238" s="43">
        <f>L239</f>
        <v>0</v>
      </c>
      <c r="M238" s="43">
        <f>M239</f>
        <v>4789.14</v>
      </c>
      <c r="N238" s="72">
        <f>N239</f>
        <v>5369.85</v>
      </c>
      <c r="O238" s="108">
        <f>O239</f>
        <v>0</v>
      </c>
      <c r="P238" s="108"/>
      <c r="Q238" s="108">
        <f>Q239</f>
        <v>0</v>
      </c>
      <c r="R238" s="109">
        <f>R239</f>
        <v>0</v>
      </c>
      <c r="S238" s="77">
        <f>S239</f>
        <v>5369.85</v>
      </c>
    </row>
    <row r="239" spans="1:19" s="2" customFormat="1" ht="56.25" customHeight="1">
      <c r="A239" s="4" t="s">
        <v>146</v>
      </c>
      <c r="B239" s="5"/>
      <c r="C239" s="44"/>
      <c r="D239" s="44"/>
      <c r="E239" s="44"/>
      <c r="F239" s="5" t="s">
        <v>391</v>
      </c>
      <c r="G239" s="5" t="s">
        <v>48</v>
      </c>
      <c r="H239" s="44"/>
      <c r="I239" s="44"/>
      <c r="J239" s="44"/>
      <c r="K239" s="70">
        <v>580.71</v>
      </c>
      <c r="L239" s="44"/>
      <c r="M239" s="44">
        <v>4789.14</v>
      </c>
      <c r="N239" s="81">
        <f>K239+L239+M239</f>
        <v>5369.85</v>
      </c>
      <c r="O239" s="110"/>
      <c r="P239" s="110"/>
      <c r="Q239" s="110"/>
      <c r="R239" s="111">
        <v>0</v>
      </c>
      <c r="S239" s="74">
        <v>5369.85</v>
      </c>
    </row>
    <row r="240" spans="1:19" s="88" customFormat="1" ht="117" customHeight="1">
      <c r="A240" s="13" t="s">
        <v>392</v>
      </c>
      <c r="B240" s="14"/>
      <c r="C240" s="43"/>
      <c r="D240" s="43"/>
      <c r="E240" s="43"/>
      <c r="F240" s="14" t="s">
        <v>393</v>
      </c>
      <c r="G240" s="14"/>
      <c r="H240" s="43"/>
      <c r="I240" s="43"/>
      <c r="J240" s="43"/>
      <c r="K240" s="69"/>
      <c r="L240" s="43">
        <f>L241</f>
        <v>2723.86</v>
      </c>
      <c r="M240" s="43">
        <f>M241</f>
        <v>0</v>
      </c>
      <c r="N240" s="69">
        <f>N241</f>
        <v>2723.86</v>
      </c>
      <c r="O240" s="105">
        <f>O241</f>
        <v>0</v>
      </c>
      <c r="P240" s="105"/>
      <c r="Q240" s="104">
        <f>Q241</f>
        <v>0</v>
      </c>
      <c r="R240" s="105">
        <f>R241</f>
        <v>0</v>
      </c>
      <c r="S240" s="73">
        <f>S241</f>
        <v>2723.86</v>
      </c>
    </row>
    <row r="241" spans="1:19" s="2" customFormat="1" ht="55.5" customHeight="1">
      <c r="A241" s="4" t="s">
        <v>146</v>
      </c>
      <c r="B241" s="5"/>
      <c r="C241" s="44"/>
      <c r="D241" s="44"/>
      <c r="E241" s="44"/>
      <c r="F241" s="5" t="s">
        <v>393</v>
      </c>
      <c r="G241" s="5" t="s">
        <v>48</v>
      </c>
      <c r="H241" s="44"/>
      <c r="I241" s="44"/>
      <c r="J241" s="44"/>
      <c r="K241" s="70"/>
      <c r="L241" s="44">
        <v>2723.86</v>
      </c>
      <c r="M241" s="44"/>
      <c r="N241" s="70">
        <f>L241+M241</f>
        <v>2723.86</v>
      </c>
      <c r="O241" s="106"/>
      <c r="P241" s="106"/>
      <c r="Q241" s="106"/>
      <c r="R241" s="107"/>
      <c r="S241" s="76">
        <v>2723.86</v>
      </c>
    </row>
    <row r="242" spans="1:19" s="2" customFormat="1" ht="37.5" customHeight="1">
      <c r="A242" s="28" t="s">
        <v>394</v>
      </c>
      <c r="B242" s="29"/>
      <c r="C242" s="50"/>
      <c r="D242" s="50"/>
      <c r="E242" s="50"/>
      <c r="F242" s="29" t="s">
        <v>396</v>
      </c>
      <c r="G242" s="29"/>
      <c r="H242" s="50"/>
      <c r="I242" s="50"/>
      <c r="J242" s="50"/>
      <c r="K242" s="72">
        <f aca="true" t="shared" si="118" ref="K242:O243">K243</f>
        <v>500</v>
      </c>
      <c r="L242" s="50">
        <f t="shared" si="118"/>
        <v>0</v>
      </c>
      <c r="M242" s="50">
        <f t="shared" si="118"/>
        <v>0</v>
      </c>
      <c r="N242" s="72">
        <f t="shared" si="118"/>
        <v>500</v>
      </c>
      <c r="O242" s="108">
        <f t="shared" si="118"/>
        <v>58.5</v>
      </c>
      <c r="P242" s="108"/>
      <c r="Q242" s="108">
        <f aca="true" t="shared" si="119" ref="Q242:S243">Q243</f>
        <v>0</v>
      </c>
      <c r="R242" s="109">
        <f t="shared" si="119"/>
        <v>0</v>
      </c>
      <c r="S242" s="77">
        <f t="shared" si="119"/>
        <v>1302.29</v>
      </c>
    </row>
    <row r="243" spans="1:19" s="2" customFormat="1" ht="27.75" customHeight="1">
      <c r="A243" s="26" t="s">
        <v>395</v>
      </c>
      <c r="B243" s="27"/>
      <c r="C243" s="51"/>
      <c r="D243" s="51"/>
      <c r="E243" s="51"/>
      <c r="F243" s="27" t="s">
        <v>397</v>
      </c>
      <c r="G243" s="27"/>
      <c r="H243" s="51"/>
      <c r="I243" s="51"/>
      <c r="J243" s="51"/>
      <c r="K243" s="81">
        <f t="shared" si="118"/>
        <v>500</v>
      </c>
      <c r="L243" s="51">
        <f t="shared" si="118"/>
        <v>0</v>
      </c>
      <c r="M243" s="51">
        <f t="shared" si="118"/>
        <v>0</v>
      </c>
      <c r="N243" s="81">
        <f t="shared" si="118"/>
        <v>500</v>
      </c>
      <c r="O243" s="81">
        <f t="shared" si="118"/>
        <v>58.5</v>
      </c>
      <c r="P243" s="81"/>
      <c r="Q243" s="81">
        <f t="shared" si="119"/>
        <v>0</v>
      </c>
      <c r="R243" s="51">
        <f t="shared" si="119"/>
        <v>0</v>
      </c>
      <c r="S243" s="74">
        <f t="shared" si="119"/>
        <v>1302.29</v>
      </c>
    </row>
    <row r="244" spans="1:19" s="2" customFormat="1" ht="55.5" customHeight="1">
      <c r="A244" s="26" t="s">
        <v>16</v>
      </c>
      <c r="B244" s="27"/>
      <c r="C244" s="51"/>
      <c r="D244" s="51"/>
      <c r="E244" s="51"/>
      <c r="F244" s="27" t="s">
        <v>397</v>
      </c>
      <c r="G244" s="27" t="s">
        <v>17</v>
      </c>
      <c r="H244" s="51"/>
      <c r="I244" s="51"/>
      <c r="J244" s="51"/>
      <c r="K244" s="81">
        <v>500</v>
      </c>
      <c r="L244" s="51"/>
      <c r="M244" s="51"/>
      <c r="N244" s="81">
        <f>K244+M244</f>
        <v>500</v>
      </c>
      <c r="O244" s="81">
        <v>58.5</v>
      </c>
      <c r="P244" s="81"/>
      <c r="Q244" s="81"/>
      <c r="R244" s="51"/>
      <c r="S244" s="74">
        <v>1302.29</v>
      </c>
    </row>
    <row r="245" spans="1:19" s="2" customFormat="1" ht="38.25" customHeight="1">
      <c r="A245" s="13" t="s">
        <v>305</v>
      </c>
      <c r="B245" s="14"/>
      <c r="C245" s="43"/>
      <c r="D245" s="43" t="e">
        <f>#REF!+D246</f>
        <v>#REF!</v>
      </c>
      <c r="E245" s="43" t="e">
        <f>#REF!+E246</f>
        <v>#REF!</v>
      </c>
      <c r="F245" s="14" t="s">
        <v>306</v>
      </c>
      <c r="G245" s="14"/>
      <c r="H245" s="43"/>
      <c r="I245" s="43" t="e">
        <f>#REF!+I246</f>
        <v>#REF!</v>
      </c>
      <c r="J245" s="43">
        <f aca="true" t="shared" si="120" ref="J245:O246">J246</f>
        <v>9009</v>
      </c>
      <c r="K245" s="69">
        <f t="shared" si="120"/>
        <v>0</v>
      </c>
      <c r="L245" s="43">
        <f t="shared" si="120"/>
        <v>0</v>
      </c>
      <c r="M245" s="43">
        <f t="shared" si="120"/>
        <v>0</v>
      </c>
      <c r="N245" s="69">
        <f t="shared" si="120"/>
        <v>9009</v>
      </c>
      <c r="O245" s="104">
        <f t="shared" si="120"/>
        <v>0</v>
      </c>
      <c r="P245" s="104"/>
      <c r="Q245" s="104">
        <f aca="true" t="shared" si="121" ref="Q245:S246">Q246</f>
        <v>0</v>
      </c>
      <c r="R245" s="105">
        <f t="shared" si="121"/>
        <v>0</v>
      </c>
      <c r="S245" s="73">
        <f>S246+S248</f>
        <v>18109</v>
      </c>
    </row>
    <row r="246" spans="1:19" s="2" customFormat="1" ht="34.5" customHeight="1">
      <c r="A246" s="26" t="s">
        <v>338</v>
      </c>
      <c r="B246" s="27"/>
      <c r="C246" s="51"/>
      <c r="D246" s="51">
        <f>D247</f>
        <v>3000</v>
      </c>
      <c r="E246" s="51">
        <f aca="true" t="shared" si="122" ref="E246:E257">C246+D246</f>
        <v>3000</v>
      </c>
      <c r="F246" s="27" t="s">
        <v>339</v>
      </c>
      <c r="G246" s="27"/>
      <c r="H246" s="51"/>
      <c r="I246" s="51">
        <f>I247</f>
        <v>3000</v>
      </c>
      <c r="J246" s="51">
        <f t="shared" si="120"/>
        <v>9009</v>
      </c>
      <c r="K246" s="81">
        <f t="shared" si="120"/>
        <v>0</v>
      </c>
      <c r="L246" s="51">
        <f t="shared" si="120"/>
        <v>0</v>
      </c>
      <c r="M246" s="51">
        <f t="shared" si="120"/>
        <v>0</v>
      </c>
      <c r="N246" s="81">
        <f t="shared" si="120"/>
        <v>9009</v>
      </c>
      <c r="O246" s="110">
        <f t="shared" si="120"/>
        <v>0</v>
      </c>
      <c r="P246" s="110"/>
      <c r="Q246" s="110">
        <f t="shared" si="121"/>
        <v>0</v>
      </c>
      <c r="R246" s="111">
        <f t="shared" si="121"/>
        <v>0</v>
      </c>
      <c r="S246" s="74">
        <f t="shared" si="121"/>
        <v>9009</v>
      </c>
    </row>
    <row r="247" spans="1:19" s="2" customFormat="1" ht="26.25" customHeight="1">
      <c r="A247" s="4" t="s">
        <v>58</v>
      </c>
      <c r="B247" s="5" t="s">
        <v>19</v>
      </c>
      <c r="C247" s="44"/>
      <c r="D247" s="44">
        <v>3000</v>
      </c>
      <c r="E247" s="44">
        <f t="shared" si="122"/>
        <v>3000</v>
      </c>
      <c r="F247" s="5" t="s">
        <v>339</v>
      </c>
      <c r="G247" s="5" t="s">
        <v>19</v>
      </c>
      <c r="H247" s="44"/>
      <c r="I247" s="44">
        <v>3000</v>
      </c>
      <c r="J247" s="44">
        <f>3003+6+6000</f>
        <v>9009</v>
      </c>
      <c r="K247" s="70"/>
      <c r="L247" s="44"/>
      <c r="M247" s="44"/>
      <c r="N247" s="70">
        <f>J247+M247</f>
        <v>9009</v>
      </c>
      <c r="O247" s="106"/>
      <c r="P247" s="106"/>
      <c r="Q247" s="106"/>
      <c r="R247" s="107"/>
      <c r="S247" s="76">
        <v>9009</v>
      </c>
    </row>
    <row r="248" spans="1:19" s="2" customFormat="1" ht="36.75" customHeight="1">
      <c r="A248" s="4" t="s">
        <v>415</v>
      </c>
      <c r="B248" s="5"/>
      <c r="C248" s="44"/>
      <c r="D248" s="44"/>
      <c r="E248" s="44"/>
      <c r="F248" s="5" t="s">
        <v>416</v>
      </c>
      <c r="G248" s="5"/>
      <c r="H248" s="44"/>
      <c r="I248" s="44"/>
      <c r="J248" s="44"/>
      <c r="K248" s="70"/>
      <c r="L248" s="44"/>
      <c r="M248" s="44"/>
      <c r="N248" s="70"/>
      <c r="O248" s="106"/>
      <c r="P248" s="106"/>
      <c r="Q248" s="106"/>
      <c r="R248" s="107"/>
      <c r="S248" s="76">
        <f>S249</f>
        <v>9100</v>
      </c>
    </row>
    <row r="249" spans="1:19" s="2" customFormat="1" ht="26.25" customHeight="1">
      <c r="A249" s="4" t="s">
        <v>58</v>
      </c>
      <c r="B249" s="5"/>
      <c r="C249" s="44"/>
      <c r="D249" s="44"/>
      <c r="E249" s="44"/>
      <c r="F249" s="5" t="s">
        <v>416</v>
      </c>
      <c r="G249" s="5" t="s">
        <v>19</v>
      </c>
      <c r="H249" s="44"/>
      <c r="I249" s="44"/>
      <c r="J249" s="44"/>
      <c r="K249" s="70"/>
      <c r="L249" s="44"/>
      <c r="M249" s="44"/>
      <c r="N249" s="70"/>
      <c r="O249" s="106"/>
      <c r="P249" s="106"/>
      <c r="Q249" s="106"/>
      <c r="R249" s="107"/>
      <c r="S249" s="76">
        <v>9100</v>
      </c>
    </row>
    <row r="250" spans="1:19" s="2" customFormat="1" ht="67.5" customHeight="1">
      <c r="A250" s="10" t="s">
        <v>307</v>
      </c>
      <c r="B250" s="9"/>
      <c r="C250" s="42"/>
      <c r="D250" s="42">
        <f>D251</f>
        <v>113560</v>
      </c>
      <c r="E250" s="42">
        <f t="shared" si="122"/>
        <v>113560</v>
      </c>
      <c r="F250" s="9" t="s">
        <v>308</v>
      </c>
      <c r="G250" s="9"/>
      <c r="H250" s="42"/>
      <c r="I250" s="42">
        <f aca="true" t="shared" si="123" ref="I250:S250">I251</f>
        <v>113560</v>
      </c>
      <c r="J250" s="42">
        <f t="shared" si="123"/>
        <v>113560</v>
      </c>
      <c r="K250" s="68">
        <f t="shared" si="123"/>
        <v>20</v>
      </c>
      <c r="L250" s="42">
        <f t="shared" si="123"/>
        <v>58777.41</v>
      </c>
      <c r="M250" s="42">
        <f t="shared" si="123"/>
        <v>17869.09</v>
      </c>
      <c r="N250" s="68">
        <f t="shared" si="123"/>
        <v>190226.5</v>
      </c>
      <c r="O250" s="102">
        <f t="shared" si="123"/>
        <v>-20</v>
      </c>
      <c r="P250" s="102">
        <f t="shared" si="123"/>
        <v>2611</v>
      </c>
      <c r="Q250" s="102">
        <f t="shared" si="123"/>
        <v>0</v>
      </c>
      <c r="R250" s="103">
        <f t="shared" si="123"/>
        <v>9163.72</v>
      </c>
      <c r="S250" s="75">
        <f t="shared" si="123"/>
        <v>202361.22</v>
      </c>
    </row>
    <row r="251" spans="1:19" s="2" customFormat="1" ht="39.75" customHeight="1">
      <c r="A251" s="13" t="s">
        <v>304</v>
      </c>
      <c r="B251" s="9"/>
      <c r="C251" s="42"/>
      <c r="D251" s="43">
        <f>D252+D255</f>
        <v>113560</v>
      </c>
      <c r="E251" s="43">
        <f t="shared" si="122"/>
        <v>113560</v>
      </c>
      <c r="F251" s="14" t="s">
        <v>309</v>
      </c>
      <c r="G251" s="9"/>
      <c r="H251" s="42"/>
      <c r="I251" s="43">
        <f aca="true" t="shared" si="124" ref="I251:R251">I252+I255</f>
        <v>113560</v>
      </c>
      <c r="J251" s="43">
        <f t="shared" si="124"/>
        <v>113560</v>
      </c>
      <c r="K251" s="69">
        <f t="shared" si="124"/>
        <v>20</v>
      </c>
      <c r="L251" s="43">
        <f t="shared" si="124"/>
        <v>58777.41</v>
      </c>
      <c r="M251" s="43">
        <f t="shared" si="124"/>
        <v>17869.09</v>
      </c>
      <c r="N251" s="69">
        <f t="shared" si="124"/>
        <v>190226.5</v>
      </c>
      <c r="O251" s="104">
        <f t="shared" si="124"/>
        <v>-20</v>
      </c>
      <c r="P251" s="104">
        <f t="shared" si="124"/>
        <v>2611</v>
      </c>
      <c r="Q251" s="104">
        <f t="shared" si="124"/>
        <v>0</v>
      </c>
      <c r="R251" s="105">
        <f t="shared" si="124"/>
        <v>9163.72</v>
      </c>
      <c r="S251" s="73">
        <f>S252+S255+S258</f>
        <v>202361.22</v>
      </c>
    </row>
    <row r="252" spans="1:19" s="2" customFormat="1" ht="78.75" customHeight="1">
      <c r="A252" s="26" t="s">
        <v>340</v>
      </c>
      <c r="B252" s="27"/>
      <c r="C252" s="51"/>
      <c r="D252" s="51">
        <f>D254</f>
        <v>95000</v>
      </c>
      <c r="E252" s="51">
        <f t="shared" si="122"/>
        <v>95000</v>
      </c>
      <c r="F252" s="27" t="s">
        <v>341</v>
      </c>
      <c r="G252" s="27"/>
      <c r="H252" s="51"/>
      <c r="I252" s="51">
        <f aca="true" t="shared" si="125" ref="I252:R252">I254</f>
        <v>95000</v>
      </c>
      <c r="J252" s="51">
        <f t="shared" si="125"/>
        <v>95000</v>
      </c>
      <c r="K252" s="81">
        <f t="shared" si="125"/>
        <v>0</v>
      </c>
      <c r="L252" s="51">
        <f t="shared" si="125"/>
        <v>0</v>
      </c>
      <c r="M252" s="51">
        <f t="shared" si="125"/>
        <v>17867.8</v>
      </c>
      <c r="N252" s="81">
        <f t="shared" si="125"/>
        <v>112867.8</v>
      </c>
      <c r="O252" s="110">
        <f t="shared" si="125"/>
        <v>0</v>
      </c>
      <c r="P252" s="110">
        <f t="shared" si="125"/>
        <v>2611</v>
      </c>
      <c r="Q252" s="110">
        <f t="shared" si="125"/>
        <v>0</v>
      </c>
      <c r="R252" s="111">
        <f t="shared" si="125"/>
        <v>6931.12</v>
      </c>
      <c r="S252" s="74">
        <f>S254+S253</f>
        <v>122409.92</v>
      </c>
    </row>
    <row r="253" spans="1:19" s="2" customFormat="1" ht="50.25" customHeight="1">
      <c r="A253" s="26" t="s">
        <v>16</v>
      </c>
      <c r="B253" s="27"/>
      <c r="C253" s="51"/>
      <c r="D253" s="51"/>
      <c r="E253" s="51"/>
      <c r="F253" s="27" t="s">
        <v>341</v>
      </c>
      <c r="G253" s="27" t="s">
        <v>17</v>
      </c>
      <c r="H253" s="51"/>
      <c r="I253" s="51"/>
      <c r="J253" s="51"/>
      <c r="K253" s="81"/>
      <c r="L253" s="51"/>
      <c r="M253" s="51"/>
      <c r="N253" s="81"/>
      <c r="O253" s="110"/>
      <c r="P253" s="110"/>
      <c r="Q253" s="110"/>
      <c r="R253" s="111"/>
      <c r="S253" s="74">
        <v>2611</v>
      </c>
    </row>
    <row r="254" spans="1:19" s="2" customFormat="1" ht="51" customHeight="1">
      <c r="A254" s="4" t="s">
        <v>146</v>
      </c>
      <c r="B254" s="5" t="s">
        <v>48</v>
      </c>
      <c r="C254" s="44"/>
      <c r="D254" s="44">
        <v>95000</v>
      </c>
      <c r="E254" s="44">
        <f t="shared" si="122"/>
        <v>95000</v>
      </c>
      <c r="F254" s="5" t="s">
        <v>341</v>
      </c>
      <c r="G254" s="5" t="s">
        <v>48</v>
      </c>
      <c r="H254" s="44"/>
      <c r="I254" s="44">
        <v>95000</v>
      </c>
      <c r="J254" s="44">
        <f>H254+I254</f>
        <v>95000</v>
      </c>
      <c r="K254" s="70"/>
      <c r="L254" s="44"/>
      <c r="M254" s="44">
        <v>17867.8</v>
      </c>
      <c r="N254" s="70">
        <f>J254+L254+M254</f>
        <v>112867.8</v>
      </c>
      <c r="O254" s="106"/>
      <c r="P254" s="70">
        <v>2611</v>
      </c>
      <c r="Q254" s="106"/>
      <c r="R254" s="44">
        <v>6931.12</v>
      </c>
      <c r="S254" s="76">
        <v>119798.92</v>
      </c>
    </row>
    <row r="255" spans="1:19" s="2" customFormat="1" ht="40.5" customHeight="1">
      <c r="A255" s="26" t="s">
        <v>342</v>
      </c>
      <c r="B255" s="27"/>
      <c r="C255" s="51"/>
      <c r="D255" s="51">
        <f>D257</f>
        <v>18560</v>
      </c>
      <c r="E255" s="51">
        <f t="shared" si="122"/>
        <v>18560</v>
      </c>
      <c r="F255" s="27" t="s">
        <v>343</v>
      </c>
      <c r="G255" s="27"/>
      <c r="H255" s="51"/>
      <c r="I255" s="51">
        <f aca="true" t="shared" si="126" ref="I255:R255">I257</f>
        <v>18560</v>
      </c>
      <c r="J255" s="51">
        <f t="shared" si="126"/>
        <v>18560</v>
      </c>
      <c r="K255" s="81">
        <f t="shared" si="126"/>
        <v>20</v>
      </c>
      <c r="L255" s="51">
        <f t="shared" si="126"/>
        <v>58777.41</v>
      </c>
      <c r="M255" s="51">
        <f t="shared" si="126"/>
        <v>1.29</v>
      </c>
      <c r="N255" s="81">
        <f t="shared" si="126"/>
        <v>77358.7</v>
      </c>
      <c r="O255" s="110">
        <f t="shared" si="126"/>
        <v>-20</v>
      </c>
      <c r="P255" s="110">
        <f t="shared" si="126"/>
        <v>0</v>
      </c>
      <c r="Q255" s="110">
        <f t="shared" si="126"/>
        <v>0</v>
      </c>
      <c r="R255" s="111">
        <f t="shared" si="126"/>
        <v>2232.6</v>
      </c>
      <c r="S255" s="74">
        <f>S257+S256</f>
        <v>79571.3</v>
      </c>
    </row>
    <row r="256" spans="1:19" s="2" customFormat="1" ht="40.5" customHeight="1">
      <c r="A256" s="26" t="s">
        <v>16</v>
      </c>
      <c r="B256" s="27"/>
      <c r="C256" s="51"/>
      <c r="D256" s="51"/>
      <c r="E256" s="51"/>
      <c r="F256" s="27" t="s">
        <v>343</v>
      </c>
      <c r="G256" s="27" t="s">
        <v>17</v>
      </c>
      <c r="H256" s="51"/>
      <c r="I256" s="51"/>
      <c r="J256" s="51"/>
      <c r="K256" s="81"/>
      <c r="L256" s="51"/>
      <c r="M256" s="51"/>
      <c r="N256" s="81"/>
      <c r="O256" s="110"/>
      <c r="P256" s="110"/>
      <c r="Q256" s="110"/>
      <c r="R256" s="111"/>
      <c r="S256" s="74">
        <v>574.41</v>
      </c>
    </row>
    <row r="257" spans="1:19" s="2" customFormat="1" ht="48.75" customHeight="1">
      <c r="A257" s="4" t="s">
        <v>146</v>
      </c>
      <c r="B257" s="5" t="s">
        <v>48</v>
      </c>
      <c r="C257" s="44"/>
      <c r="D257" s="44">
        <v>18560</v>
      </c>
      <c r="E257" s="44">
        <f t="shared" si="122"/>
        <v>18560</v>
      </c>
      <c r="F257" s="5" t="s">
        <v>343</v>
      </c>
      <c r="G257" s="5" t="s">
        <v>48</v>
      </c>
      <c r="H257" s="44"/>
      <c r="I257" s="44">
        <v>18560</v>
      </c>
      <c r="J257" s="44">
        <v>18560</v>
      </c>
      <c r="K257" s="70">
        <v>20</v>
      </c>
      <c r="L257" s="44">
        <v>58777.41</v>
      </c>
      <c r="M257" s="44">
        <v>1.29</v>
      </c>
      <c r="N257" s="70">
        <f>J257+L257+K257+M257</f>
        <v>77358.7</v>
      </c>
      <c r="O257" s="70">
        <f>-20</f>
        <v>-20</v>
      </c>
      <c r="P257" s="70"/>
      <c r="Q257" s="106"/>
      <c r="R257" s="44">
        <v>2232.6</v>
      </c>
      <c r="S257" s="76">
        <v>78996.89</v>
      </c>
    </row>
    <row r="258" spans="1:19" s="2" customFormat="1" ht="48.75" customHeight="1">
      <c r="A258" s="4" t="s">
        <v>436</v>
      </c>
      <c r="B258" s="5"/>
      <c r="C258" s="44"/>
      <c r="D258" s="44"/>
      <c r="E258" s="44"/>
      <c r="F258" s="5" t="s">
        <v>435</v>
      </c>
      <c r="G258" s="5"/>
      <c r="H258" s="44"/>
      <c r="I258" s="44"/>
      <c r="J258" s="44"/>
      <c r="K258" s="70"/>
      <c r="L258" s="44"/>
      <c r="M258" s="44"/>
      <c r="N258" s="70"/>
      <c r="O258" s="70"/>
      <c r="P258" s="70"/>
      <c r="Q258" s="106"/>
      <c r="R258" s="44"/>
      <c r="S258" s="76">
        <f>S259</f>
        <v>380</v>
      </c>
    </row>
    <row r="259" spans="1:19" s="2" customFormat="1" ht="48.75" customHeight="1">
      <c r="A259" s="26" t="s">
        <v>16</v>
      </c>
      <c r="B259" s="5"/>
      <c r="C259" s="44"/>
      <c r="D259" s="44"/>
      <c r="E259" s="44"/>
      <c r="F259" s="5" t="s">
        <v>435</v>
      </c>
      <c r="G259" s="5" t="s">
        <v>17</v>
      </c>
      <c r="H259" s="44"/>
      <c r="I259" s="44"/>
      <c r="J259" s="44"/>
      <c r="K259" s="70"/>
      <c r="L259" s="44"/>
      <c r="M259" s="44"/>
      <c r="N259" s="70"/>
      <c r="O259" s="70"/>
      <c r="P259" s="70"/>
      <c r="Q259" s="106"/>
      <c r="R259" s="44"/>
      <c r="S259" s="76">
        <v>380</v>
      </c>
    </row>
    <row r="260" spans="1:19" s="2" customFormat="1" ht="87" customHeight="1">
      <c r="A260" s="10" t="s">
        <v>426</v>
      </c>
      <c r="B260" s="9"/>
      <c r="C260" s="42"/>
      <c r="D260" s="42"/>
      <c r="E260" s="42"/>
      <c r="F260" s="9" t="s">
        <v>427</v>
      </c>
      <c r="G260" s="9"/>
      <c r="H260" s="42"/>
      <c r="I260" s="42"/>
      <c r="J260" s="42"/>
      <c r="K260" s="68"/>
      <c r="L260" s="42"/>
      <c r="M260" s="42"/>
      <c r="N260" s="68"/>
      <c r="O260" s="68"/>
      <c r="P260" s="68"/>
      <c r="Q260" s="102"/>
      <c r="R260" s="42"/>
      <c r="S260" s="75">
        <f>S261</f>
        <v>2080.65</v>
      </c>
    </row>
    <row r="261" spans="1:19" s="2" customFormat="1" ht="48.75" customHeight="1">
      <c r="A261" s="13" t="s">
        <v>428</v>
      </c>
      <c r="B261" s="14"/>
      <c r="C261" s="43"/>
      <c r="D261" s="43"/>
      <c r="E261" s="43"/>
      <c r="F261" s="14" t="s">
        <v>429</v>
      </c>
      <c r="G261" s="14"/>
      <c r="H261" s="43"/>
      <c r="I261" s="43"/>
      <c r="J261" s="43"/>
      <c r="K261" s="69"/>
      <c r="L261" s="43"/>
      <c r="M261" s="43"/>
      <c r="N261" s="69"/>
      <c r="O261" s="69"/>
      <c r="P261" s="69"/>
      <c r="Q261" s="104"/>
      <c r="R261" s="43"/>
      <c r="S261" s="73">
        <f>S262</f>
        <v>2080.65</v>
      </c>
    </row>
    <row r="262" spans="1:19" s="2" customFormat="1" ht="33.75" customHeight="1">
      <c r="A262" s="4" t="s">
        <v>430</v>
      </c>
      <c r="B262" s="5"/>
      <c r="C262" s="44"/>
      <c r="D262" s="44"/>
      <c r="E262" s="44"/>
      <c r="F262" s="5" t="s">
        <v>431</v>
      </c>
      <c r="G262" s="5" t="s">
        <v>17</v>
      </c>
      <c r="H262" s="44"/>
      <c r="I262" s="44"/>
      <c r="J262" s="44"/>
      <c r="K262" s="70"/>
      <c r="L262" s="44"/>
      <c r="M262" s="44"/>
      <c r="N262" s="70"/>
      <c r="O262" s="70"/>
      <c r="P262" s="70"/>
      <c r="Q262" s="106"/>
      <c r="R262" s="44"/>
      <c r="S262" s="76">
        <v>2080.65</v>
      </c>
    </row>
    <row r="263" spans="1:19" s="2" customFormat="1" ht="23.25" customHeight="1">
      <c r="A263" s="30" t="s">
        <v>161</v>
      </c>
      <c r="B263" s="31"/>
      <c r="C263" s="40">
        <f>C264</f>
        <v>71322.79</v>
      </c>
      <c r="D263" s="40">
        <f>D264</f>
        <v>0</v>
      </c>
      <c r="E263" s="40">
        <f>E264</f>
        <v>71322.79</v>
      </c>
      <c r="F263" s="31" t="s">
        <v>27</v>
      </c>
      <c r="G263" s="31"/>
      <c r="H263" s="40">
        <f aca="true" t="shared" si="127" ref="H263:O263">H264</f>
        <v>71322.79</v>
      </c>
      <c r="I263" s="40">
        <f t="shared" si="127"/>
        <v>0</v>
      </c>
      <c r="J263" s="40">
        <f t="shared" si="127"/>
        <v>71322.79</v>
      </c>
      <c r="K263" s="66">
        <f t="shared" si="127"/>
        <v>0</v>
      </c>
      <c r="L263" s="40">
        <f t="shared" si="127"/>
        <v>75282.59999999999</v>
      </c>
      <c r="M263" s="40">
        <f t="shared" si="127"/>
        <v>350</v>
      </c>
      <c r="N263" s="66">
        <f t="shared" si="127"/>
        <v>146955.38999999998</v>
      </c>
      <c r="O263" s="98">
        <f t="shared" si="127"/>
        <v>0</v>
      </c>
      <c r="P263" s="98"/>
      <c r="Q263" s="98">
        <f>Q264</f>
        <v>52452.130000000005</v>
      </c>
      <c r="R263" s="99">
        <f>R264</f>
        <v>0</v>
      </c>
      <c r="S263" s="134">
        <f>S264</f>
        <v>199861.42999999996</v>
      </c>
    </row>
    <row r="264" spans="1:19" s="34" customFormat="1" ht="46.5" customHeight="1">
      <c r="A264" s="12" t="s">
        <v>162</v>
      </c>
      <c r="B264" s="23"/>
      <c r="C264" s="45">
        <f>C265+C279+C285</f>
        <v>71322.79</v>
      </c>
      <c r="D264" s="45">
        <f>D265+D279+D285</f>
        <v>0</v>
      </c>
      <c r="E264" s="45">
        <f>E265+E279+E285</f>
        <v>71322.79</v>
      </c>
      <c r="F264" s="23" t="s">
        <v>30</v>
      </c>
      <c r="G264" s="23"/>
      <c r="H264" s="45">
        <f aca="true" t="shared" si="128" ref="H264:O264">H265+H279+H285</f>
        <v>71322.79</v>
      </c>
      <c r="I264" s="45">
        <f t="shared" si="128"/>
        <v>0</v>
      </c>
      <c r="J264" s="45">
        <f t="shared" si="128"/>
        <v>71322.79</v>
      </c>
      <c r="K264" s="67">
        <f t="shared" si="128"/>
        <v>0</v>
      </c>
      <c r="L264" s="45">
        <f t="shared" si="128"/>
        <v>75282.59999999999</v>
      </c>
      <c r="M264" s="45">
        <f t="shared" si="128"/>
        <v>350</v>
      </c>
      <c r="N264" s="67">
        <f t="shared" si="128"/>
        <v>146955.38999999998</v>
      </c>
      <c r="O264" s="100">
        <f t="shared" si="128"/>
        <v>0</v>
      </c>
      <c r="P264" s="100"/>
      <c r="Q264" s="100">
        <f>Q265+Q279+Q285</f>
        <v>52452.130000000005</v>
      </c>
      <c r="R264" s="101">
        <f>R265+R279+R285</f>
        <v>0</v>
      </c>
      <c r="S264" s="71">
        <f>S265+S279+S285</f>
        <v>199861.42999999996</v>
      </c>
    </row>
    <row r="265" spans="1:19" ht="36.75" customHeight="1">
      <c r="A265" s="10" t="s">
        <v>164</v>
      </c>
      <c r="B265" s="9"/>
      <c r="C265" s="42">
        <f>C266</f>
        <v>63087.5</v>
      </c>
      <c r="D265" s="42">
        <f>D266</f>
        <v>0</v>
      </c>
      <c r="E265" s="42">
        <f>E266</f>
        <v>63087.5</v>
      </c>
      <c r="F265" s="9" t="s">
        <v>163</v>
      </c>
      <c r="G265" s="9"/>
      <c r="H265" s="42">
        <f aca="true" t="shared" si="129" ref="H265:O265">H266</f>
        <v>63087.5</v>
      </c>
      <c r="I265" s="42">
        <f t="shared" si="129"/>
        <v>0</v>
      </c>
      <c r="J265" s="42">
        <f t="shared" si="129"/>
        <v>63087.5</v>
      </c>
      <c r="K265" s="68">
        <f t="shared" si="129"/>
        <v>0</v>
      </c>
      <c r="L265" s="42">
        <f t="shared" si="129"/>
        <v>75508.79999999999</v>
      </c>
      <c r="M265" s="42">
        <f t="shared" si="129"/>
        <v>0</v>
      </c>
      <c r="N265" s="68">
        <f t="shared" si="129"/>
        <v>138596.3</v>
      </c>
      <c r="O265" s="102">
        <f t="shared" si="129"/>
        <v>0</v>
      </c>
      <c r="P265" s="102"/>
      <c r="Q265" s="102">
        <f>Q266</f>
        <v>52661.490000000005</v>
      </c>
      <c r="R265" s="103">
        <f>R266</f>
        <v>0</v>
      </c>
      <c r="S265" s="75">
        <f>S266</f>
        <v>191257.78999999998</v>
      </c>
    </row>
    <row r="266" spans="1:19" ht="63.75" customHeight="1">
      <c r="A266" s="13" t="s">
        <v>165</v>
      </c>
      <c r="B266" s="14"/>
      <c r="C266" s="43">
        <f>C267+C271+C273+C275+C277</f>
        <v>63087.5</v>
      </c>
      <c r="D266" s="43">
        <f>D267+D271+D273+D275+D277</f>
        <v>0</v>
      </c>
      <c r="E266" s="43">
        <f>E267+E271+E273+E275+E277</f>
        <v>63087.5</v>
      </c>
      <c r="F266" s="14" t="s">
        <v>163</v>
      </c>
      <c r="G266" s="14"/>
      <c r="H266" s="43">
        <f>H267+H271+H273+H275+H277</f>
        <v>63087.5</v>
      </c>
      <c r="I266" s="43">
        <f>I267+I271+I273+I275+I277</f>
        <v>0</v>
      </c>
      <c r="J266" s="43">
        <f>J267+J271+J273+J275+J277</f>
        <v>63087.5</v>
      </c>
      <c r="K266" s="69">
        <f>K267+K271+K273+K275+K277</f>
        <v>0</v>
      </c>
      <c r="L266" s="43">
        <f>L267+L271+L273+L275+L277+L269</f>
        <v>75508.79999999999</v>
      </c>
      <c r="M266" s="43">
        <f>M267+M271+M273+M275+M277+M269</f>
        <v>0</v>
      </c>
      <c r="N266" s="69">
        <f>N267+N271+N273+N275+N277+N269</f>
        <v>138596.3</v>
      </c>
      <c r="O266" s="104">
        <f>O267+O271+O273+O275+O277</f>
        <v>0</v>
      </c>
      <c r="P266" s="104"/>
      <c r="Q266" s="104">
        <f>Q267+Q271+Q273+Q275+Q277+Q269</f>
        <v>52661.490000000005</v>
      </c>
      <c r="R266" s="105">
        <f>R267+R271+R273+R275+R277+R269</f>
        <v>0</v>
      </c>
      <c r="S266" s="73">
        <f>S267+S271+S273+S275+S277+S269</f>
        <v>191257.78999999998</v>
      </c>
    </row>
    <row r="267" spans="1:19" ht="40.5" customHeight="1">
      <c r="A267" s="28" t="s">
        <v>344</v>
      </c>
      <c r="B267" s="29"/>
      <c r="C267" s="50">
        <f>C268</f>
        <v>26300</v>
      </c>
      <c r="D267" s="50">
        <f>D268</f>
        <v>0</v>
      </c>
      <c r="E267" s="50">
        <f>E268</f>
        <v>26300</v>
      </c>
      <c r="F267" s="29" t="s">
        <v>166</v>
      </c>
      <c r="G267" s="29"/>
      <c r="H267" s="50">
        <f aca="true" t="shared" si="130" ref="H267:O267">H268</f>
        <v>26300</v>
      </c>
      <c r="I267" s="50">
        <f t="shared" si="130"/>
        <v>0</v>
      </c>
      <c r="J267" s="50">
        <f t="shared" si="130"/>
        <v>26300</v>
      </c>
      <c r="K267" s="72">
        <f t="shared" si="130"/>
        <v>0</v>
      </c>
      <c r="L267" s="50">
        <f t="shared" si="130"/>
        <v>0</v>
      </c>
      <c r="M267" s="50">
        <f t="shared" si="130"/>
        <v>0</v>
      </c>
      <c r="N267" s="72">
        <f t="shared" si="130"/>
        <v>26300</v>
      </c>
      <c r="O267" s="108">
        <f t="shared" si="130"/>
        <v>0</v>
      </c>
      <c r="P267" s="108"/>
      <c r="Q267" s="108">
        <f>Q268</f>
        <v>63980.29</v>
      </c>
      <c r="R267" s="109">
        <f>R268</f>
        <v>0</v>
      </c>
      <c r="S267" s="77">
        <f>S268</f>
        <v>90280.29</v>
      </c>
    </row>
    <row r="268" spans="1:19" ht="24.75" customHeight="1">
      <c r="A268" s="4" t="s">
        <v>58</v>
      </c>
      <c r="B268" s="5" t="s">
        <v>19</v>
      </c>
      <c r="C268" s="44">
        <v>26300</v>
      </c>
      <c r="D268" s="44"/>
      <c r="E268" s="44">
        <f>C268+D268</f>
        <v>26300</v>
      </c>
      <c r="F268" s="5" t="s">
        <v>166</v>
      </c>
      <c r="G268" s="5" t="s">
        <v>19</v>
      </c>
      <c r="H268" s="44">
        <v>26300</v>
      </c>
      <c r="I268" s="44"/>
      <c r="J268" s="44">
        <f>H268+I268</f>
        <v>26300</v>
      </c>
      <c r="K268" s="70"/>
      <c r="L268" s="44"/>
      <c r="M268" s="44"/>
      <c r="N268" s="70">
        <f>L268+J268</f>
        <v>26300</v>
      </c>
      <c r="O268" s="106"/>
      <c r="P268" s="106"/>
      <c r="Q268" s="106">
        <v>63980.29</v>
      </c>
      <c r="R268" s="107"/>
      <c r="S268" s="76">
        <v>90280.29</v>
      </c>
    </row>
    <row r="269" spans="1:19" ht="67.5" customHeight="1">
      <c r="A269" s="13" t="s">
        <v>368</v>
      </c>
      <c r="B269" s="14"/>
      <c r="C269" s="43"/>
      <c r="D269" s="43"/>
      <c r="E269" s="43"/>
      <c r="F269" s="14" t="s">
        <v>369</v>
      </c>
      <c r="G269" s="14"/>
      <c r="H269" s="43"/>
      <c r="I269" s="43"/>
      <c r="J269" s="43"/>
      <c r="K269" s="69"/>
      <c r="L269" s="43">
        <f>L270</f>
        <v>80633.51</v>
      </c>
      <c r="M269" s="43">
        <f>M270</f>
        <v>0</v>
      </c>
      <c r="N269" s="69">
        <f>N270</f>
        <v>80633.51</v>
      </c>
      <c r="O269" s="104"/>
      <c r="P269" s="104"/>
      <c r="Q269" s="104">
        <f>Q270</f>
        <v>0</v>
      </c>
      <c r="R269" s="105">
        <f>R270</f>
        <v>0</v>
      </c>
      <c r="S269" s="73">
        <f>S270</f>
        <v>80633.51</v>
      </c>
    </row>
    <row r="270" spans="1:19" ht="24.75" customHeight="1">
      <c r="A270" s="4" t="s">
        <v>58</v>
      </c>
      <c r="B270" s="5"/>
      <c r="C270" s="44"/>
      <c r="D270" s="44"/>
      <c r="E270" s="44"/>
      <c r="F270" s="5" t="s">
        <v>369</v>
      </c>
      <c r="G270" s="5" t="s">
        <v>19</v>
      </c>
      <c r="H270" s="44"/>
      <c r="I270" s="44"/>
      <c r="J270" s="44"/>
      <c r="K270" s="70"/>
      <c r="L270" s="44">
        <v>80633.51</v>
      </c>
      <c r="M270" s="44"/>
      <c r="N270" s="70">
        <f>J270+L270</f>
        <v>80633.51</v>
      </c>
      <c r="O270" s="106"/>
      <c r="P270" s="106"/>
      <c r="Q270" s="106"/>
      <c r="R270" s="107"/>
      <c r="S270" s="76">
        <v>80633.51</v>
      </c>
    </row>
    <row r="271" spans="1:19" ht="69.75" customHeight="1">
      <c r="A271" s="28" t="s">
        <v>345</v>
      </c>
      <c r="B271" s="29"/>
      <c r="C271" s="50">
        <f>C272</f>
        <v>1717.5</v>
      </c>
      <c r="D271" s="50">
        <f>D272</f>
        <v>0</v>
      </c>
      <c r="E271" s="50">
        <f>E272</f>
        <v>1717.5</v>
      </c>
      <c r="F271" s="29" t="s">
        <v>167</v>
      </c>
      <c r="G271" s="29"/>
      <c r="H271" s="50">
        <f aca="true" t="shared" si="131" ref="H271:O271">H272</f>
        <v>1717.5</v>
      </c>
      <c r="I271" s="50">
        <f t="shared" si="131"/>
        <v>0</v>
      </c>
      <c r="J271" s="50">
        <f t="shared" si="131"/>
        <v>1717.5</v>
      </c>
      <c r="K271" s="72">
        <f t="shared" si="131"/>
        <v>0</v>
      </c>
      <c r="L271" s="50">
        <f t="shared" si="131"/>
        <v>365.29</v>
      </c>
      <c r="M271" s="50">
        <f t="shared" si="131"/>
        <v>0</v>
      </c>
      <c r="N271" s="72">
        <f t="shared" si="131"/>
        <v>2082.79</v>
      </c>
      <c r="O271" s="108">
        <f t="shared" si="131"/>
        <v>0</v>
      </c>
      <c r="P271" s="108"/>
      <c r="Q271" s="108">
        <f>Q272</f>
        <v>0</v>
      </c>
      <c r="R271" s="109">
        <f>R272</f>
        <v>0</v>
      </c>
      <c r="S271" s="77">
        <f>S272</f>
        <v>2082.79</v>
      </c>
    </row>
    <row r="272" spans="1:19" ht="19.5" customHeight="1">
      <c r="A272" s="4" t="s">
        <v>58</v>
      </c>
      <c r="B272" s="5" t="s">
        <v>19</v>
      </c>
      <c r="C272" s="44">
        <v>1717.5</v>
      </c>
      <c r="D272" s="44"/>
      <c r="E272" s="44">
        <f>C272+D272</f>
        <v>1717.5</v>
      </c>
      <c r="F272" s="5" t="s">
        <v>167</v>
      </c>
      <c r="G272" s="5" t="s">
        <v>19</v>
      </c>
      <c r="H272" s="44">
        <v>1717.5</v>
      </c>
      <c r="I272" s="44"/>
      <c r="J272" s="44">
        <f>H272+I272</f>
        <v>1717.5</v>
      </c>
      <c r="K272" s="70"/>
      <c r="L272" s="44">
        <v>365.29</v>
      </c>
      <c r="M272" s="44"/>
      <c r="N272" s="70">
        <f>J272+L272</f>
        <v>2082.79</v>
      </c>
      <c r="O272" s="106"/>
      <c r="P272" s="106"/>
      <c r="Q272" s="106"/>
      <c r="R272" s="107"/>
      <c r="S272" s="76">
        <v>2082.79</v>
      </c>
    </row>
    <row r="273" spans="1:19" ht="42.75" customHeight="1">
      <c r="A273" s="28" t="s">
        <v>346</v>
      </c>
      <c r="B273" s="29"/>
      <c r="C273" s="50">
        <f>C274</f>
        <v>1180</v>
      </c>
      <c r="D273" s="50">
        <f>D274</f>
        <v>0</v>
      </c>
      <c r="E273" s="50">
        <f>E274</f>
        <v>1180</v>
      </c>
      <c r="F273" s="29" t="s">
        <v>168</v>
      </c>
      <c r="G273" s="29"/>
      <c r="H273" s="50">
        <f aca="true" t="shared" si="132" ref="H273:O273">H274</f>
        <v>1180</v>
      </c>
      <c r="I273" s="50">
        <f t="shared" si="132"/>
        <v>0</v>
      </c>
      <c r="J273" s="50">
        <f t="shared" si="132"/>
        <v>1180</v>
      </c>
      <c r="K273" s="72">
        <f t="shared" si="132"/>
        <v>0</v>
      </c>
      <c r="L273" s="50">
        <f t="shared" si="132"/>
        <v>0</v>
      </c>
      <c r="M273" s="50">
        <f t="shared" si="132"/>
        <v>0</v>
      </c>
      <c r="N273" s="72">
        <f t="shared" si="132"/>
        <v>1180</v>
      </c>
      <c r="O273" s="108">
        <f t="shared" si="132"/>
        <v>0</v>
      </c>
      <c r="P273" s="108"/>
      <c r="Q273" s="108">
        <f>Q274</f>
        <v>-360</v>
      </c>
      <c r="R273" s="109">
        <f>R274</f>
        <v>0</v>
      </c>
      <c r="S273" s="77">
        <f>S274</f>
        <v>820</v>
      </c>
    </row>
    <row r="274" spans="1:19" ht="20.25" customHeight="1">
      <c r="A274" s="4" t="s">
        <v>58</v>
      </c>
      <c r="B274" s="5" t="s">
        <v>19</v>
      </c>
      <c r="C274" s="44">
        <v>1180</v>
      </c>
      <c r="D274" s="44"/>
      <c r="E274" s="44">
        <f>C274+D274</f>
        <v>1180</v>
      </c>
      <c r="F274" s="5" t="s">
        <v>168</v>
      </c>
      <c r="G274" s="5" t="s">
        <v>19</v>
      </c>
      <c r="H274" s="44">
        <v>1180</v>
      </c>
      <c r="I274" s="44"/>
      <c r="J274" s="44">
        <f>H274+I274</f>
        <v>1180</v>
      </c>
      <c r="K274" s="70"/>
      <c r="L274" s="44"/>
      <c r="M274" s="44"/>
      <c r="N274" s="70">
        <f>J274+L274</f>
        <v>1180</v>
      </c>
      <c r="O274" s="106"/>
      <c r="P274" s="106"/>
      <c r="Q274" s="106">
        <v>-360</v>
      </c>
      <c r="R274" s="107"/>
      <c r="S274" s="76">
        <v>820</v>
      </c>
    </row>
    <row r="275" spans="1:19" ht="49.5" customHeight="1">
      <c r="A275" s="28" t="s">
        <v>347</v>
      </c>
      <c r="B275" s="29"/>
      <c r="C275" s="50">
        <f>C276</f>
        <v>28400</v>
      </c>
      <c r="D275" s="50">
        <f>D276</f>
        <v>0</v>
      </c>
      <c r="E275" s="50">
        <f>E276</f>
        <v>28400</v>
      </c>
      <c r="F275" s="29" t="s">
        <v>169</v>
      </c>
      <c r="G275" s="29"/>
      <c r="H275" s="50">
        <f aca="true" t="shared" si="133" ref="H275:O275">H276</f>
        <v>28400</v>
      </c>
      <c r="I275" s="50">
        <f t="shared" si="133"/>
        <v>0</v>
      </c>
      <c r="J275" s="50">
        <f t="shared" si="133"/>
        <v>28400</v>
      </c>
      <c r="K275" s="72">
        <f t="shared" si="133"/>
        <v>0</v>
      </c>
      <c r="L275" s="50">
        <f t="shared" si="133"/>
        <v>0</v>
      </c>
      <c r="M275" s="50">
        <f t="shared" si="133"/>
        <v>0</v>
      </c>
      <c r="N275" s="72">
        <f t="shared" si="133"/>
        <v>28400</v>
      </c>
      <c r="O275" s="108">
        <f t="shared" si="133"/>
        <v>0</v>
      </c>
      <c r="P275" s="108"/>
      <c r="Q275" s="108">
        <f>Q276</f>
        <v>-10958.8</v>
      </c>
      <c r="R275" s="109">
        <f>R276</f>
        <v>0</v>
      </c>
      <c r="S275" s="77">
        <f>S276</f>
        <v>17441.2</v>
      </c>
    </row>
    <row r="276" spans="1:19" ht="16.5" customHeight="1">
      <c r="A276" s="4" t="s">
        <v>58</v>
      </c>
      <c r="B276" s="5" t="s">
        <v>19</v>
      </c>
      <c r="C276" s="44">
        <v>28400</v>
      </c>
      <c r="D276" s="44"/>
      <c r="E276" s="44">
        <f>C276+D276</f>
        <v>28400</v>
      </c>
      <c r="F276" s="5" t="s">
        <v>169</v>
      </c>
      <c r="G276" s="5" t="s">
        <v>19</v>
      </c>
      <c r="H276" s="44">
        <v>28400</v>
      </c>
      <c r="I276" s="44"/>
      <c r="J276" s="44">
        <f>H276+I276</f>
        <v>28400</v>
      </c>
      <c r="K276" s="70"/>
      <c r="L276" s="44"/>
      <c r="M276" s="44"/>
      <c r="N276" s="70">
        <f>J276+L276</f>
        <v>28400</v>
      </c>
      <c r="O276" s="106"/>
      <c r="P276" s="106"/>
      <c r="Q276" s="106">
        <v>-10958.8</v>
      </c>
      <c r="R276" s="107"/>
      <c r="S276" s="76">
        <v>17441.2</v>
      </c>
    </row>
    <row r="277" spans="1:19" ht="48.75" customHeight="1" hidden="1">
      <c r="A277" s="13" t="s">
        <v>370</v>
      </c>
      <c r="B277" s="14"/>
      <c r="C277" s="43">
        <f>C278</f>
        <v>5490</v>
      </c>
      <c r="D277" s="43">
        <f>D278</f>
        <v>0</v>
      </c>
      <c r="E277" s="43">
        <f>E278</f>
        <v>5490</v>
      </c>
      <c r="F277" s="14" t="s">
        <v>170</v>
      </c>
      <c r="G277" s="14"/>
      <c r="H277" s="43">
        <f aca="true" t="shared" si="134" ref="H277:O277">H278</f>
        <v>5490</v>
      </c>
      <c r="I277" s="43">
        <f t="shared" si="134"/>
        <v>0</v>
      </c>
      <c r="J277" s="43">
        <f t="shared" si="134"/>
        <v>5490</v>
      </c>
      <c r="K277" s="69">
        <f t="shared" si="134"/>
        <v>0</v>
      </c>
      <c r="L277" s="43">
        <f t="shared" si="134"/>
        <v>-5490</v>
      </c>
      <c r="M277" s="43">
        <f t="shared" si="134"/>
        <v>0</v>
      </c>
      <c r="N277" s="69">
        <f t="shared" si="134"/>
        <v>0</v>
      </c>
      <c r="O277" s="104">
        <f t="shared" si="134"/>
        <v>0</v>
      </c>
      <c r="P277" s="104"/>
      <c r="Q277" s="104">
        <f>Q278</f>
        <v>0</v>
      </c>
      <c r="R277" s="105">
        <f>R278</f>
        <v>0</v>
      </c>
      <c r="S277" s="73">
        <f>S278</f>
        <v>0</v>
      </c>
    </row>
    <row r="278" spans="1:19" ht="17.25" customHeight="1" hidden="1">
      <c r="A278" s="4" t="s">
        <v>58</v>
      </c>
      <c r="B278" s="5" t="s">
        <v>19</v>
      </c>
      <c r="C278" s="44">
        <v>5490</v>
      </c>
      <c r="D278" s="44"/>
      <c r="E278" s="44">
        <f>C278+D278</f>
        <v>5490</v>
      </c>
      <c r="F278" s="5" t="s">
        <v>170</v>
      </c>
      <c r="G278" s="5" t="s">
        <v>19</v>
      </c>
      <c r="H278" s="44">
        <v>5490</v>
      </c>
      <c r="I278" s="44"/>
      <c r="J278" s="44">
        <f>H278+I278</f>
        <v>5490</v>
      </c>
      <c r="K278" s="70"/>
      <c r="L278" s="44">
        <v>-5490</v>
      </c>
      <c r="M278" s="44"/>
      <c r="N278" s="70">
        <f>J278+L278</f>
        <v>0</v>
      </c>
      <c r="O278" s="106"/>
      <c r="P278" s="106"/>
      <c r="Q278" s="106"/>
      <c r="R278" s="107"/>
      <c r="S278" s="76">
        <f>N278+R278+O278+Q278</f>
        <v>0</v>
      </c>
    </row>
    <row r="279" spans="1:19" ht="35.25" customHeight="1">
      <c r="A279" s="10" t="s">
        <v>172</v>
      </c>
      <c r="B279" s="9"/>
      <c r="C279" s="42">
        <f>C280</f>
        <v>2468</v>
      </c>
      <c r="D279" s="42">
        <f>D280</f>
        <v>0</v>
      </c>
      <c r="E279" s="42">
        <f>E280</f>
        <v>2468</v>
      </c>
      <c r="F279" s="9" t="s">
        <v>171</v>
      </c>
      <c r="G279" s="9"/>
      <c r="H279" s="42">
        <f aca="true" t="shared" si="135" ref="H279:O279">H280</f>
        <v>2468</v>
      </c>
      <c r="I279" s="42">
        <f t="shared" si="135"/>
        <v>0</v>
      </c>
      <c r="J279" s="42">
        <f t="shared" si="135"/>
        <v>2468</v>
      </c>
      <c r="K279" s="68">
        <f t="shared" si="135"/>
        <v>0</v>
      </c>
      <c r="L279" s="42">
        <f t="shared" si="135"/>
        <v>-226.2</v>
      </c>
      <c r="M279" s="42">
        <f t="shared" si="135"/>
        <v>0</v>
      </c>
      <c r="N279" s="68">
        <f t="shared" si="135"/>
        <v>2241.8</v>
      </c>
      <c r="O279" s="102">
        <f t="shared" si="135"/>
        <v>0</v>
      </c>
      <c r="P279" s="102"/>
      <c r="Q279" s="102">
        <f>Q280</f>
        <v>-209.36</v>
      </c>
      <c r="R279" s="103">
        <f>R280</f>
        <v>-60.9</v>
      </c>
      <c r="S279" s="75">
        <f>S280</f>
        <v>1971.55</v>
      </c>
    </row>
    <row r="280" spans="1:19" ht="46.5" customHeight="1">
      <c r="A280" s="13" t="s">
        <v>173</v>
      </c>
      <c r="B280" s="14"/>
      <c r="C280" s="43">
        <f>C281+C283</f>
        <v>2468</v>
      </c>
      <c r="D280" s="43">
        <f>D281+D283</f>
        <v>0</v>
      </c>
      <c r="E280" s="43">
        <f>E281+E283</f>
        <v>2468</v>
      </c>
      <c r="F280" s="14" t="s">
        <v>174</v>
      </c>
      <c r="G280" s="14"/>
      <c r="H280" s="43">
        <f aca="true" t="shared" si="136" ref="H280:O280">H281+H283</f>
        <v>2468</v>
      </c>
      <c r="I280" s="43">
        <f t="shared" si="136"/>
        <v>0</v>
      </c>
      <c r="J280" s="43">
        <f t="shared" si="136"/>
        <v>2468</v>
      </c>
      <c r="K280" s="69">
        <f t="shared" si="136"/>
        <v>0</v>
      </c>
      <c r="L280" s="43">
        <f t="shared" si="136"/>
        <v>-226.2</v>
      </c>
      <c r="M280" s="43">
        <f t="shared" si="136"/>
        <v>0</v>
      </c>
      <c r="N280" s="69">
        <f t="shared" si="136"/>
        <v>2241.8</v>
      </c>
      <c r="O280" s="104">
        <f t="shared" si="136"/>
        <v>0</v>
      </c>
      <c r="P280" s="104"/>
      <c r="Q280" s="104">
        <f>Q281+Q283</f>
        <v>-209.36</v>
      </c>
      <c r="R280" s="105">
        <f>R281+R283</f>
        <v>-60.9</v>
      </c>
      <c r="S280" s="73">
        <f>S281+S283</f>
        <v>1971.55</v>
      </c>
    </row>
    <row r="281" spans="1:19" ht="98.25" customHeight="1" hidden="1">
      <c r="A281" s="4" t="s">
        <v>268</v>
      </c>
      <c r="B281" s="5"/>
      <c r="C281" s="44">
        <f>C282</f>
        <v>168</v>
      </c>
      <c r="D281" s="44">
        <f>D282</f>
        <v>0</v>
      </c>
      <c r="E281" s="44">
        <f>E282</f>
        <v>168</v>
      </c>
      <c r="F281" s="5" t="s">
        <v>174</v>
      </c>
      <c r="G281" s="5"/>
      <c r="H281" s="44">
        <f aca="true" t="shared" si="137" ref="H281:O281">H282</f>
        <v>168</v>
      </c>
      <c r="I281" s="44">
        <f t="shared" si="137"/>
        <v>0</v>
      </c>
      <c r="J281" s="44">
        <f t="shared" si="137"/>
        <v>168</v>
      </c>
      <c r="K281" s="70">
        <f t="shared" si="137"/>
        <v>0</v>
      </c>
      <c r="L281" s="44">
        <f t="shared" si="137"/>
        <v>0</v>
      </c>
      <c r="M281" s="44">
        <f t="shared" si="137"/>
        <v>-168</v>
      </c>
      <c r="N281" s="70">
        <f t="shared" si="137"/>
        <v>0</v>
      </c>
      <c r="O281" s="106">
        <f t="shared" si="137"/>
        <v>0</v>
      </c>
      <c r="P281" s="106"/>
      <c r="Q281" s="106">
        <f>Q282</f>
        <v>0</v>
      </c>
      <c r="R281" s="107">
        <f>R282</f>
        <v>0</v>
      </c>
      <c r="S281" s="76">
        <f>S282</f>
        <v>0</v>
      </c>
    </row>
    <row r="282" spans="1:19" ht="29.25" customHeight="1" hidden="1">
      <c r="A282" s="4" t="s">
        <v>24</v>
      </c>
      <c r="B282" s="5" t="s">
        <v>25</v>
      </c>
      <c r="C282" s="44">
        <v>168</v>
      </c>
      <c r="D282" s="44"/>
      <c r="E282" s="44">
        <f>C282+D282</f>
        <v>168</v>
      </c>
      <c r="F282" s="5" t="s">
        <v>174</v>
      </c>
      <c r="G282" s="5" t="s">
        <v>25</v>
      </c>
      <c r="H282" s="44">
        <v>168</v>
      </c>
      <c r="I282" s="44"/>
      <c r="J282" s="44">
        <f>H282+I282</f>
        <v>168</v>
      </c>
      <c r="K282" s="70"/>
      <c r="L282" s="44"/>
      <c r="M282" s="44">
        <v>-168</v>
      </c>
      <c r="N282" s="70">
        <f>J282+M282</f>
        <v>0</v>
      </c>
      <c r="O282" s="106"/>
      <c r="P282" s="106"/>
      <c r="Q282" s="106"/>
      <c r="R282" s="107"/>
      <c r="S282" s="76">
        <f>N282+R282+O282+Q282</f>
        <v>0</v>
      </c>
    </row>
    <row r="283" spans="1:19" ht="117.75" customHeight="1">
      <c r="A283" s="28" t="s">
        <v>348</v>
      </c>
      <c r="B283" s="29"/>
      <c r="C283" s="50">
        <f>C284</f>
        <v>2300</v>
      </c>
      <c r="D283" s="50">
        <f>D284</f>
        <v>0</v>
      </c>
      <c r="E283" s="50">
        <f>E284</f>
        <v>2300</v>
      </c>
      <c r="F283" s="29" t="s">
        <v>349</v>
      </c>
      <c r="G283" s="29"/>
      <c r="H283" s="50">
        <f aca="true" t="shared" si="138" ref="H283:O283">H284</f>
        <v>2300</v>
      </c>
      <c r="I283" s="50">
        <f t="shared" si="138"/>
        <v>0</v>
      </c>
      <c r="J283" s="50">
        <f t="shared" si="138"/>
        <v>2300</v>
      </c>
      <c r="K283" s="72">
        <f t="shared" si="138"/>
        <v>0</v>
      </c>
      <c r="L283" s="50">
        <f t="shared" si="138"/>
        <v>-226.2</v>
      </c>
      <c r="M283" s="50">
        <f t="shared" si="138"/>
        <v>168</v>
      </c>
      <c r="N283" s="72">
        <f t="shared" si="138"/>
        <v>2241.8</v>
      </c>
      <c r="O283" s="108">
        <f t="shared" si="138"/>
        <v>0</v>
      </c>
      <c r="P283" s="108"/>
      <c r="Q283" s="108">
        <f>Q284</f>
        <v>-209.36</v>
      </c>
      <c r="R283" s="109">
        <f>R284</f>
        <v>-60.9</v>
      </c>
      <c r="S283" s="77">
        <f>S284</f>
        <v>1971.55</v>
      </c>
    </row>
    <row r="284" spans="1:19" ht="32.25" customHeight="1">
      <c r="A284" s="4" t="s">
        <v>24</v>
      </c>
      <c r="B284" s="5" t="s">
        <v>25</v>
      </c>
      <c r="C284" s="44">
        <v>2300</v>
      </c>
      <c r="D284" s="44"/>
      <c r="E284" s="44">
        <f>C284+D284</f>
        <v>2300</v>
      </c>
      <c r="F284" s="5" t="s">
        <v>349</v>
      </c>
      <c r="G284" s="5" t="s">
        <v>25</v>
      </c>
      <c r="H284" s="44">
        <v>2300</v>
      </c>
      <c r="I284" s="44"/>
      <c r="J284" s="44">
        <f>H284+I284</f>
        <v>2300</v>
      </c>
      <c r="K284" s="70"/>
      <c r="L284" s="44">
        <v>-226.2</v>
      </c>
      <c r="M284" s="44">
        <v>168</v>
      </c>
      <c r="N284" s="70">
        <f>J284+L284+M284</f>
        <v>2241.8</v>
      </c>
      <c r="O284" s="106"/>
      <c r="P284" s="106"/>
      <c r="Q284" s="106">
        <v>-209.36</v>
      </c>
      <c r="R284" s="107">
        <v>-60.9</v>
      </c>
      <c r="S284" s="76">
        <v>1971.55</v>
      </c>
    </row>
    <row r="285" spans="1:19" ht="31.5" customHeight="1">
      <c r="A285" s="10" t="s">
        <v>61</v>
      </c>
      <c r="B285" s="9"/>
      <c r="C285" s="42">
        <f>C286+C288+C290+C295</f>
        <v>5767.29</v>
      </c>
      <c r="D285" s="42">
        <f>D286+D288+D290+D295</f>
        <v>0</v>
      </c>
      <c r="E285" s="42">
        <f>E286+E288+E290+E295</f>
        <v>5767.29</v>
      </c>
      <c r="F285" s="9" t="s">
        <v>175</v>
      </c>
      <c r="G285" s="9"/>
      <c r="H285" s="42">
        <f>H286+H288+H290+H295</f>
        <v>5767.29</v>
      </c>
      <c r="I285" s="42">
        <f>I286+I288+I290+I295</f>
        <v>0</v>
      </c>
      <c r="J285" s="42">
        <f>J286+J288+J290+J295</f>
        <v>5767.29</v>
      </c>
      <c r="K285" s="68">
        <f>K286+K288+K290+K295</f>
        <v>0</v>
      </c>
      <c r="L285" s="42">
        <f>L286+L288+L290+L295</f>
        <v>0</v>
      </c>
      <c r="M285" s="42">
        <f>M286+M288+M290+M295+M298</f>
        <v>350</v>
      </c>
      <c r="N285" s="68">
        <f>N286+N288+N290+N295+N298</f>
        <v>6117.29</v>
      </c>
      <c r="O285" s="102">
        <f>O286+O288+O290+O295</f>
        <v>0</v>
      </c>
      <c r="P285" s="102"/>
      <c r="Q285" s="102">
        <f>Q286+Q288+Q290+Q295</f>
        <v>0</v>
      </c>
      <c r="R285" s="103">
        <f>R286+R288+R290+R295+R298</f>
        <v>60.9</v>
      </c>
      <c r="S285" s="75">
        <f>S286+S288+S290+S295+S298</f>
        <v>6632.09</v>
      </c>
    </row>
    <row r="286" spans="1:19" ht="68.25" customHeight="1" hidden="1">
      <c r="A286" s="13" t="s">
        <v>177</v>
      </c>
      <c r="B286" s="14"/>
      <c r="C286" s="43">
        <f>C287</f>
        <v>0</v>
      </c>
      <c r="D286" s="43">
        <f>D287</f>
        <v>0</v>
      </c>
      <c r="E286" s="43">
        <f>E287</f>
        <v>0</v>
      </c>
      <c r="F286" s="14" t="s">
        <v>176</v>
      </c>
      <c r="G286" s="14"/>
      <c r="H286" s="43">
        <f aca="true" t="shared" si="139" ref="H286:O286">H287</f>
        <v>0</v>
      </c>
      <c r="I286" s="43">
        <f t="shared" si="139"/>
        <v>0</v>
      </c>
      <c r="J286" s="43">
        <f t="shared" si="139"/>
        <v>0</v>
      </c>
      <c r="K286" s="69">
        <f t="shared" si="139"/>
        <v>0</v>
      </c>
      <c r="L286" s="43">
        <f t="shared" si="139"/>
        <v>0</v>
      </c>
      <c r="M286" s="43">
        <f t="shared" si="139"/>
        <v>0</v>
      </c>
      <c r="N286" s="69">
        <f t="shared" si="139"/>
        <v>0</v>
      </c>
      <c r="O286" s="104">
        <f t="shared" si="139"/>
        <v>0</v>
      </c>
      <c r="P286" s="104"/>
      <c r="Q286" s="104">
        <f>Q287</f>
        <v>0</v>
      </c>
      <c r="R286" s="105">
        <f>R287</f>
        <v>0</v>
      </c>
      <c r="S286" s="73">
        <f>S287</f>
        <v>0</v>
      </c>
    </row>
    <row r="287" spans="1:19" ht="80.25" customHeight="1" hidden="1">
      <c r="A287" s="4" t="s">
        <v>16</v>
      </c>
      <c r="B287" s="5" t="s">
        <v>17</v>
      </c>
      <c r="C287" s="44">
        <v>0</v>
      </c>
      <c r="D287" s="44">
        <v>0</v>
      </c>
      <c r="E287" s="44">
        <v>0</v>
      </c>
      <c r="F287" s="5" t="s">
        <v>176</v>
      </c>
      <c r="G287" s="5" t="s">
        <v>17</v>
      </c>
      <c r="H287" s="44">
        <v>0</v>
      </c>
      <c r="I287" s="44">
        <v>0</v>
      </c>
      <c r="J287" s="44">
        <v>0</v>
      </c>
      <c r="K287" s="70">
        <v>0</v>
      </c>
      <c r="L287" s="44">
        <v>0</v>
      </c>
      <c r="M287" s="44">
        <v>0</v>
      </c>
      <c r="N287" s="70">
        <v>0</v>
      </c>
      <c r="O287" s="106">
        <v>0</v>
      </c>
      <c r="P287" s="106"/>
      <c r="Q287" s="106">
        <v>0</v>
      </c>
      <c r="R287" s="107">
        <v>0</v>
      </c>
      <c r="S287" s="76">
        <v>0</v>
      </c>
    </row>
    <row r="288" spans="1:19" ht="74.25" customHeight="1" hidden="1">
      <c r="A288" s="13" t="s">
        <v>178</v>
      </c>
      <c r="B288" s="14"/>
      <c r="C288" s="43">
        <f>C289</f>
        <v>0</v>
      </c>
      <c r="D288" s="43">
        <f>D289</f>
        <v>0</v>
      </c>
      <c r="E288" s="43">
        <f>E289</f>
        <v>0</v>
      </c>
      <c r="F288" s="14" t="s">
        <v>284</v>
      </c>
      <c r="G288" s="14"/>
      <c r="H288" s="43">
        <f aca="true" t="shared" si="140" ref="H288:O288">H289</f>
        <v>0</v>
      </c>
      <c r="I288" s="43">
        <f t="shared" si="140"/>
        <v>0</v>
      </c>
      <c r="J288" s="43">
        <f t="shared" si="140"/>
        <v>0</v>
      </c>
      <c r="K288" s="69">
        <f t="shared" si="140"/>
        <v>0</v>
      </c>
      <c r="L288" s="43">
        <f t="shared" si="140"/>
        <v>0</v>
      </c>
      <c r="M288" s="43">
        <f t="shared" si="140"/>
        <v>0</v>
      </c>
      <c r="N288" s="69">
        <f t="shared" si="140"/>
        <v>0</v>
      </c>
      <c r="O288" s="104">
        <f t="shared" si="140"/>
        <v>0</v>
      </c>
      <c r="P288" s="104"/>
      <c r="Q288" s="104">
        <f>Q289</f>
        <v>0</v>
      </c>
      <c r="R288" s="105">
        <f>R289</f>
        <v>0</v>
      </c>
      <c r="S288" s="73">
        <f>S289</f>
        <v>0</v>
      </c>
    </row>
    <row r="289" spans="1:19" ht="96" customHeight="1" hidden="1">
      <c r="A289" s="4" t="s">
        <v>16</v>
      </c>
      <c r="B289" s="5" t="s">
        <v>17</v>
      </c>
      <c r="C289" s="44">
        <v>0</v>
      </c>
      <c r="D289" s="44">
        <v>0</v>
      </c>
      <c r="E289" s="44">
        <v>0</v>
      </c>
      <c r="F289" s="5" t="s">
        <v>284</v>
      </c>
      <c r="G289" s="5" t="s">
        <v>17</v>
      </c>
      <c r="H289" s="44">
        <v>0</v>
      </c>
      <c r="I289" s="44">
        <v>0</v>
      </c>
      <c r="J289" s="44">
        <v>0</v>
      </c>
      <c r="K289" s="70">
        <v>0</v>
      </c>
      <c r="L289" s="44">
        <v>0</v>
      </c>
      <c r="M289" s="44">
        <v>0</v>
      </c>
      <c r="N289" s="70">
        <v>0</v>
      </c>
      <c r="O289" s="106">
        <v>0</v>
      </c>
      <c r="P289" s="106"/>
      <c r="Q289" s="106">
        <v>0</v>
      </c>
      <c r="R289" s="107">
        <v>0</v>
      </c>
      <c r="S289" s="76">
        <v>0</v>
      </c>
    </row>
    <row r="290" spans="1:19" ht="53.25" customHeight="1">
      <c r="A290" s="13" t="s">
        <v>180</v>
      </c>
      <c r="B290" s="14"/>
      <c r="C290" s="43">
        <f>C291</f>
        <v>3137.29</v>
      </c>
      <c r="D290" s="43">
        <f>D291</f>
        <v>0</v>
      </c>
      <c r="E290" s="43">
        <f>E291</f>
        <v>3137.29</v>
      </c>
      <c r="F290" s="29" t="s">
        <v>376</v>
      </c>
      <c r="G290" s="14"/>
      <c r="H290" s="43">
        <f aca="true" t="shared" si="141" ref="H290:O290">H291</f>
        <v>3137.29</v>
      </c>
      <c r="I290" s="43">
        <f t="shared" si="141"/>
        <v>0</v>
      </c>
      <c r="J290" s="43">
        <f t="shared" si="141"/>
        <v>3137.29</v>
      </c>
      <c r="K290" s="69">
        <f t="shared" si="141"/>
        <v>0</v>
      </c>
      <c r="L290" s="43">
        <f t="shared" si="141"/>
        <v>0</v>
      </c>
      <c r="M290" s="43">
        <f t="shared" si="141"/>
        <v>0</v>
      </c>
      <c r="N290" s="69">
        <f t="shared" si="141"/>
        <v>3137.29</v>
      </c>
      <c r="O290" s="104">
        <f t="shared" si="141"/>
        <v>0</v>
      </c>
      <c r="P290" s="104"/>
      <c r="Q290" s="104">
        <f>Q291</f>
        <v>0</v>
      </c>
      <c r="R290" s="105">
        <f>R291</f>
        <v>0</v>
      </c>
      <c r="S290" s="73">
        <f>S291</f>
        <v>3664.19</v>
      </c>
    </row>
    <row r="291" spans="1:19" ht="32.25" customHeight="1">
      <c r="A291" s="4" t="s">
        <v>55</v>
      </c>
      <c r="B291" s="5"/>
      <c r="C291" s="44">
        <f>C292+C293+C294</f>
        <v>3137.29</v>
      </c>
      <c r="D291" s="44">
        <f>D292+D293+D294</f>
        <v>0</v>
      </c>
      <c r="E291" s="44">
        <f>E292+E293+E294</f>
        <v>3137.29</v>
      </c>
      <c r="F291" s="5" t="s">
        <v>285</v>
      </c>
      <c r="G291" s="5"/>
      <c r="H291" s="44">
        <f aca="true" t="shared" si="142" ref="H291:O291">H292+H293+H294</f>
        <v>3137.29</v>
      </c>
      <c r="I291" s="44">
        <f t="shared" si="142"/>
        <v>0</v>
      </c>
      <c r="J291" s="44">
        <f t="shared" si="142"/>
        <v>3137.29</v>
      </c>
      <c r="K291" s="70">
        <f t="shared" si="142"/>
        <v>0</v>
      </c>
      <c r="L291" s="44">
        <f t="shared" si="142"/>
        <v>0</v>
      </c>
      <c r="M291" s="44">
        <f t="shared" si="142"/>
        <v>0</v>
      </c>
      <c r="N291" s="70">
        <f t="shared" si="142"/>
        <v>3137.29</v>
      </c>
      <c r="O291" s="106">
        <f t="shared" si="142"/>
        <v>0</v>
      </c>
      <c r="P291" s="106"/>
      <c r="Q291" s="106">
        <f>Q292+Q293+Q294</f>
        <v>0</v>
      </c>
      <c r="R291" s="107">
        <f>R292+R293+R294</f>
        <v>0</v>
      </c>
      <c r="S291" s="76">
        <f>S292+S293+S294</f>
        <v>3664.19</v>
      </c>
    </row>
    <row r="292" spans="1:19" ht="79.5" customHeight="1">
      <c r="A292" s="4" t="s">
        <v>14</v>
      </c>
      <c r="B292" s="5" t="s">
        <v>15</v>
      </c>
      <c r="C292" s="44">
        <f>1890.39+570.9</f>
        <v>2461.29</v>
      </c>
      <c r="D292" s="44"/>
      <c r="E292" s="44">
        <f>C292+D292</f>
        <v>2461.29</v>
      </c>
      <c r="F292" s="5" t="s">
        <v>285</v>
      </c>
      <c r="G292" s="5" t="s">
        <v>15</v>
      </c>
      <c r="H292" s="44">
        <f>1890.39+570.9</f>
        <v>2461.29</v>
      </c>
      <c r="I292" s="44"/>
      <c r="J292" s="44">
        <f>H292+I292</f>
        <v>2461.29</v>
      </c>
      <c r="K292" s="70"/>
      <c r="L292" s="44"/>
      <c r="M292" s="44">
        <v>137</v>
      </c>
      <c r="N292" s="70">
        <f>J292+M292</f>
        <v>2598.29</v>
      </c>
      <c r="O292" s="106"/>
      <c r="P292" s="106"/>
      <c r="Q292" s="106"/>
      <c r="R292" s="107">
        <v>0.69</v>
      </c>
      <c r="S292" s="76">
        <f>2597.67+453.9+73</f>
        <v>3124.57</v>
      </c>
    </row>
    <row r="293" spans="1:19" ht="36.75" customHeight="1">
      <c r="A293" s="4" t="s">
        <v>16</v>
      </c>
      <c r="B293" s="5" t="s">
        <v>17</v>
      </c>
      <c r="C293" s="44">
        <v>654</v>
      </c>
      <c r="D293" s="44"/>
      <c r="E293" s="44">
        <f>C293+D293</f>
        <v>654</v>
      </c>
      <c r="F293" s="5" t="s">
        <v>285</v>
      </c>
      <c r="G293" s="5" t="s">
        <v>17</v>
      </c>
      <c r="H293" s="44">
        <v>654</v>
      </c>
      <c r="I293" s="44"/>
      <c r="J293" s="44">
        <f>H293+I293</f>
        <v>654</v>
      </c>
      <c r="K293" s="70"/>
      <c r="L293" s="44"/>
      <c r="M293" s="44">
        <v>-137</v>
      </c>
      <c r="N293" s="70">
        <f>J293+M293</f>
        <v>517</v>
      </c>
      <c r="O293" s="106"/>
      <c r="P293" s="106"/>
      <c r="Q293" s="106"/>
      <c r="R293" s="107">
        <v>-0.69</v>
      </c>
      <c r="S293" s="76">
        <v>522.62</v>
      </c>
    </row>
    <row r="294" spans="1:19" ht="21.75" customHeight="1">
      <c r="A294" s="4" t="s">
        <v>58</v>
      </c>
      <c r="B294" s="5" t="s">
        <v>19</v>
      </c>
      <c r="C294" s="44">
        <v>22</v>
      </c>
      <c r="D294" s="44"/>
      <c r="E294" s="44">
        <f>C294+D294</f>
        <v>22</v>
      </c>
      <c r="F294" s="5" t="s">
        <v>285</v>
      </c>
      <c r="G294" s="5" t="s">
        <v>19</v>
      </c>
      <c r="H294" s="44">
        <v>22</v>
      </c>
      <c r="I294" s="44"/>
      <c r="J294" s="44">
        <f>H294+I294</f>
        <v>22</v>
      </c>
      <c r="K294" s="70"/>
      <c r="L294" s="44"/>
      <c r="M294" s="44"/>
      <c r="N294" s="70">
        <f>J294+M294</f>
        <v>22</v>
      </c>
      <c r="O294" s="106"/>
      <c r="P294" s="106"/>
      <c r="Q294" s="106"/>
      <c r="R294" s="107"/>
      <c r="S294" s="76">
        <v>17</v>
      </c>
    </row>
    <row r="295" spans="1:19" ht="66" customHeight="1">
      <c r="A295" s="13" t="s">
        <v>179</v>
      </c>
      <c r="B295" s="14"/>
      <c r="C295" s="43">
        <f aca="true" t="shared" si="143" ref="C295:E296">C296</f>
        <v>2630</v>
      </c>
      <c r="D295" s="43">
        <f t="shared" si="143"/>
        <v>0</v>
      </c>
      <c r="E295" s="43">
        <f t="shared" si="143"/>
        <v>2630</v>
      </c>
      <c r="F295" s="14" t="s">
        <v>398</v>
      </c>
      <c r="G295" s="14"/>
      <c r="H295" s="43">
        <f aca="true" t="shared" si="144" ref="H295:O296">H296</f>
        <v>2630</v>
      </c>
      <c r="I295" s="43">
        <f t="shared" si="144"/>
        <v>0</v>
      </c>
      <c r="J295" s="43">
        <f t="shared" si="144"/>
        <v>2630</v>
      </c>
      <c r="K295" s="69">
        <f t="shared" si="144"/>
        <v>0</v>
      </c>
      <c r="L295" s="43">
        <f t="shared" si="144"/>
        <v>0</v>
      </c>
      <c r="M295" s="43">
        <f t="shared" si="144"/>
        <v>0</v>
      </c>
      <c r="N295" s="69">
        <f t="shared" si="144"/>
        <v>2630</v>
      </c>
      <c r="O295" s="104">
        <f t="shared" si="144"/>
        <v>0</v>
      </c>
      <c r="P295" s="104"/>
      <c r="Q295" s="104">
        <f aca="true" t="shared" si="145" ref="Q295:S296">Q296</f>
        <v>0</v>
      </c>
      <c r="R295" s="105">
        <f t="shared" si="145"/>
        <v>0</v>
      </c>
      <c r="S295" s="73">
        <f t="shared" si="145"/>
        <v>2630</v>
      </c>
    </row>
    <row r="296" spans="1:19" ht="35.25" customHeight="1">
      <c r="A296" s="28" t="s">
        <v>350</v>
      </c>
      <c r="B296" s="29"/>
      <c r="C296" s="50">
        <f t="shared" si="143"/>
        <v>2630</v>
      </c>
      <c r="D296" s="50">
        <f t="shared" si="143"/>
        <v>0</v>
      </c>
      <c r="E296" s="50">
        <f t="shared" si="143"/>
        <v>2630</v>
      </c>
      <c r="F296" s="29" t="s">
        <v>286</v>
      </c>
      <c r="G296" s="29"/>
      <c r="H296" s="50">
        <f t="shared" si="144"/>
        <v>2630</v>
      </c>
      <c r="I296" s="50">
        <f t="shared" si="144"/>
        <v>0</v>
      </c>
      <c r="J296" s="50">
        <f t="shared" si="144"/>
        <v>2630</v>
      </c>
      <c r="K296" s="72">
        <f t="shared" si="144"/>
        <v>0</v>
      </c>
      <c r="L296" s="50">
        <f t="shared" si="144"/>
        <v>0</v>
      </c>
      <c r="M296" s="50">
        <f t="shared" si="144"/>
        <v>0</v>
      </c>
      <c r="N296" s="72">
        <f t="shared" si="144"/>
        <v>2630</v>
      </c>
      <c r="O296" s="108">
        <f t="shared" si="144"/>
        <v>0</v>
      </c>
      <c r="P296" s="108"/>
      <c r="Q296" s="108">
        <f t="shared" si="145"/>
        <v>0</v>
      </c>
      <c r="R296" s="109">
        <f t="shared" si="145"/>
        <v>0</v>
      </c>
      <c r="S296" s="77">
        <f t="shared" si="145"/>
        <v>2630</v>
      </c>
    </row>
    <row r="297" spans="1:19" ht="79.5" customHeight="1">
      <c r="A297" s="4" t="s">
        <v>14</v>
      </c>
      <c r="B297" s="5" t="s">
        <v>15</v>
      </c>
      <c r="C297" s="44">
        <v>2630</v>
      </c>
      <c r="D297" s="44"/>
      <c r="E297" s="44">
        <f>C297+D297</f>
        <v>2630</v>
      </c>
      <c r="F297" s="5" t="s">
        <v>286</v>
      </c>
      <c r="G297" s="5" t="s">
        <v>15</v>
      </c>
      <c r="H297" s="44">
        <v>2630</v>
      </c>
      <c r="I297" s="44"/>
      <c r="J297" s="44">
        <f>H297+I297</f>
        <v>2630</v>
      </c>
      <c r="K297" s="70"/>
      <c r="L297" s="44"/>
      <c r="M297" s="44"/>
      <c r="N297" s="70">
        <f>J297+L297</f>
        <v>2630</v>
      </c>
      <c r="O297" s="106"/>
      <c r="P297" s="106"/>
      <c r="Q297" s="106"/>
      <c r="R297" s="107"/>
      <c r="S297" s="76">
        <v>2630</v>
      </c>
    </row>
    <row r="298" spans="1:19" s="89" customFormat="1" ht="54.75" customHeight="1">
      <c r="A298" s="10" t="s">
        <v>400</v>
      </c>
      <c r="B298" s="9"/>
      <c r="C298" s="42"/>
      <c r="D298" s="42"/>
      <c r="E298" s="42"/>
      <c r="F298" s="9" t="s">
        <v>401</v>
      </c>
      <c r="G298" s="9"/>
      <c r="H298" s="42"/>
      <c r="I298" s="42"/>
      <c r="J298" s="42"/>
      <c r="K298" s="68"/>
      <c r="L298" s="42"/>
      <c r="M298" s="42">
        <f aca="true" t="shared" si="146" ref="M298:O299">M299</f>
        <v>350</v>
      </c>
      <c r="N298" s="68">
        <f t="shared" si="146"/>
        <v>350</v>
      </c>
      <c r="O298" s="102">
        <f t="shared" si="146"/>
        <v>0</v>
      </c>
      <c r="P298" s="102"/>
      <c r="Q298" s="102">
        <f aca="true" t="shared" si="147" ref="Q298:S299">Q299</f>
        <v>0</v>
      </c>
      <c r="R298" s="103">
        <f t="shared" si="147"/>
        <v>60.9</v>
      </c>
      <c r="S298" s="75">
        <f t="shared" si="147"/>
        <v>337.9</v>
      </c>
    </row>
    <row r="299" spans="1:19" s="88" customFormat="1" ht="48" customHeight="1">
      <c r="A299" s="13" t="s">
        <v>399</v>
      </c>
      <c r="B299" s="14"/>
      <c r="C299" s="43"/>
      <c r="D299" s="43"/>
      <c r="E299" s="43"/>
      <c r="F299" s="14" t="s">
        <v>402</v>
      </c>
      <c r="G299" s="14"/>
      <c r="H299" s="43"/>
      <c r="I299" s="43"/>
      <c r="J299" s="43"/>
      <c r="K299" s="69"/>
      <c r="L299" s="43"/>
      <c r="M299" s="43">
        <f t="shared" si="146"/>
        <v>350</v>
      </c>
      <c r="N299" s="69">
        <f t="shared" si="146"/>
        <v>350</v>
      </c>
      <c r="O299" s="104">
        <f t="shared" si="146"/>
        <v>0</v>
      </c>
      <c r="P299" s="104"/>
      <c r="Q299" s="104">
        <f t="shared" si="147"/>
        <v>0</v>
      </c>
      <c r="R299" s="105">
        <f t="shared" si="147"/>
        <v>60.9</v>
      </c>
      <c r="S299" s="73">
        <f t="shared" si="147"/>
        <v>337.9</v>
      </c>
    </row>
    <row r="300" spans="1:19" ht="48.75" customHeight="1">
      <c r="A300" s="4" t="s">
        <v>16</v>
      </c>
      <c r="B300" s="5" t="s">
        <v>17</v>
      </c>
      <c r="C300" s="44">
        <v>654</v>
      </c>
      <c r="D300" s="44"/>
      <c r="E300" s="44">
        <f>C300+D300</f>
        <v>654</v>
      </c>
      <c r="F300" s="5" t="s">
        <v>402</v>
      </c>
      <c r="G300" s="5" t="s">
        <v>17</v>
      </c>
      <c r="H300" s="44"/>
      <c r="I300" s="44"/>
      <c r="J300" s="44"/>
      <c r="K300" s="70"/>
      <c r="L300" s="44"/>
      <c r="M300" s="44">
        <v>350</v>
      </c>
      <c r="N300" s="70">
        <f>M300</f>
        <v>350</v>
      </c>
      <c r="O300" s="106"/>
      <c r="P300" s="106"/>
      <c r="Q300" s="106"/>
      <c r="R300" s="107">
        <v>60.9</v>
      </c>
      <c r="S300" s="76">
        <f>410.9-73</f>
        <v>337.9</v>
      </c>
    </row>
    <row r="301" spans="1:19" ht="34.5" customHeight="1">
      <c r="A301" s="30" t="s">
        <v>202</v>
      </c>
      <c r="B301" s="31"/>
      <c r="C301" s="40" t="e">
        <f>C302+C323</f>
        <v>#REF!</v>
      </c>
      <c r="D301" s="40" t="e">
        <f>D302+D323</f>
        <v>#REF!</v>
      </c>
      <c r="E301" s="40" t="e">
        <f>E302+E323</f>
        <v>#REF!</v>
      </c>
      <c r="F301" s="31" t="s">
        <v>29</v>
      </c>
      <c r="G301" s="31"/>
      <c r="H301" s="40" t="e">
        <f aca="true" t="shared" si="148" ref="H301:O301">H302+H323</f>
        <v>#REF!</v>
      </c>
      <c r="I301" s="40" t="e">
        <f t="shared" si="148"/>
        <v>#REF!</v>
      </c>
      <c r="J301" s="40" t="e">
        <f t="shared" si="148"/>
        <v>#REF!</v>
      </c>
      <c r="K301" s="66" t="e">
        <f t="shared" si="148"/>
        <v>#REF!</v>
      </c>
      <c r="L301" s="40" t="e">
        <f t="shared" si="148"/>
        <v>#REF!</v>
      </c>
      <c r="M301" s="40" t="e">
        <f t="shared" si="148"/>
        <v>#REF!</v>
      </c>
      <c r="N301" s="66" t="e">
        <f t="shared" si="148"/>
        <v>#REF!</v>
      </c>
      <c r="O301" s="98" t="e">
        <f t="shared" si="148"/>
        <v>#REF!</v>
      </c>
      <c r="P301" s="98"/>
      <c r="Q301" s="98" t="e">
        <f>Q302+Q323</f>
        <v>#REF!</v>
      </c>
      <c r="R301" s="99" t="e">
        <f>R302+R323</f>
        <v>#REF!</v>
      </c>
      <c r="S301" s="134">
        <f>S302+S323</f>
        <v>16984.6</v>
      </c>
    </row>
    <row r="302" spans="1:19" s="34" customFormat="1" ht="42.75" customHeight="1">
      <c r="A302" s="12" t="s">
        <v>5</v>
      </c>
      <c r="B302" s="23"/>
      <c r="C302" s="45" t="e">
        <f>C303+C306+C310+C315+C318</f>
        <v>#REF!</v>
      </c>
      <c r="D302" s="45" t="e">
        <f>D303+D306+D310+D315+D318</f>
        <v>#REF!</v>
      </c>
      <c r="E302" s="45" t="e">
        <f>E303+E306+E310+E315+E318</f>
        <v>#REF!</v>
      </c>
      <c r="F302" s="23" t="s">
        <v>182</v>
      </c>
      <c r="G302" s="23"/>
      <c r="H302" s="45" t="e">
        <f aca="true" t="shared" si="149" ref="H302:O302">H303+H306+H310+H315+H318</f>
        <v>#REF!</v>
      </c>
      <c r="I302" s="45" t="e">
        <f t="shared" si="149"/>
        <v>#REF!</v>
      </c>
      <c r="J302" s="45" t="e">
        <f t="shared" si="149"/>
        <v>#REF!</v>
      </c>
      <c r="K302" s="67" t="e">
        <f t="shared" si="149"/>
        <v>#REF!</v>
      </c>
      <c r="L302" s="45" t="e">
        <f t="shared" si="149"/>
        <v>#REF!</v>
      </c>
      <c r="M302" s="45" t="e">
        <f t="shared" si="149"/>
        <v>#REF!</v>
      </c>
      <c r="N302" s="67" t="e">
        <f t="shared" si="149"/>
        <v>#REF!</v>
      </c>
      <c r="O302" s="100" t="e">
        <f t="shared" si="149"/>
        <v>#REF!</v>
      </c>
      <c r="P302" s="100"/>
      <c r="Q302" s="100" t="e">
        <f>Q303+Q306+Q310+Q315+Q318</f>
        <v>#REF!</v>
      </c>
      <c r="R302" s="101" t="e">
        <f>R303+R306+R310+R315+R318</f>
        <v>#REF!</v>
      </c>
      <c r="S302" s="71">
        <f>S303+S306+S310+S315+S318</f>
        <v>16770.3</v>
      </c>
    </row>
    <row r="303" spans="1:19" ht="54" customHeight="1">
      <c r="A303" s="13" t="s">
        <v>50</v>
      </c>
      <c r="B303" s="14"/>
      <c r="C303" s="43">
        <f aca="true" t="shared" si="150" ref="C303:E304">C304</f>
        <v>1741.5</v>
      </c>
      <c r="D303" s="43">
        <f t="shared" si="150"/>
        <v>0</v>
      </c>
      <c r="E303" s="43">
        <f t="shared" si="150"/>
        <v>1741.5</v>
      </c>
      <c r="F303" s="14" t="s">
        <v>378</v>
      </c>
      <c r="G303" s="14"/>
      <c r="H303" s="43">
        <f aca="true" t="shared" si="151" ref="H303:O304">H304</f>
        <v>1741.5</v>
      </c>
      <c r="I303" s="43">
        <f t="shared" si="151"/>
        <v>0</v>
      </c>
      <c r="J303" s="43">
        <f t="shared" si="151"/>
        <v>1741.5</v>
      </c>
      <c r="K303" s="69">
        <f t="shared" si="151"/>
        <v>0</v>
      </c>
      <c r="L303" s="43">
        <f t="shared" si="151"/>
        <v>0</v>
      </c>
      <c r="M303" s="43">
        <f t="shared" si="151"/>
        <v>0</v>
      </c>
      <c r="N303" s="69">
        <f t="shared" si="151"/>
        <v>1741.5</v>
      </c>
      <c r="O303" s="104">
        <f t="shared" si="151"/>
        <v>0</v>
      </c>
      <c r="P303" s="104"/>
      <c r="Q303" s="104">
        <f aca="true" t="shared" si="152" ref="Q303:S304">Q304</f>
        <v>0</v>
      </c>
      <c r="R303" s="105">
        <f t="shared" si="152"/>
        <v>0</v>
      </c>
      <c r="S303" s="73">
        <f t="shared" si="152"/>
        <v>1741.5</v>
      </c>
    </row>
    <row r="304" spans="1:19" ht="39.75" customHeight="1">
      <c r="A304" s="4" t="s">
        <v>184</v>
      </c>
      <c r="B304" s="5"/>
      <c r="C304" s="44">
        <f t="shared" si="150"/>
        <v>1741.5</v>
      </c>
      <c r="D304" s="44">
        <f t="shared" si="150"/>
        <v>0</v>
      </c>
      <c r="E304" s="44">
        <f t="shared" si="150"/>
        <v>1741.5</v>
      </c>
      <c r="F304" s="5" t="s">
        <v>183</v>
      </c>
      <c r="G304" s="5"/>
      <c r="H304" s="44">
        <f t="shared" si="151"/>
        <v>1741.5</v>
      </c>
      <c r="I304" s="44">
        <f t="shared" si="151"/>
        <v>0</v>
      </c>
      <c r="J304" s="44">
        <f t="shared" si="151"/>
        <v>1741.5</v>
      </c>
      <c r="K304" s="70">
        <f t="shared" si="151"/>
        <v>0</v>
      </c>
      <c r="L304" s="44">
        <f t="shared" si="151"/>
        <v>0</v>
      </c>
      <c r="M304" s="44">
        <f t="shared" si="151"/>
        <v>0</v>
      </c>
      <c r="N304" s="70">
        <f t="shared" si="151"/>
        <v>1741.5</v>
      </c>
      <c r="O304" s="106">
        <f t="shared" si="151"/>
        <v>0</v>
      </c>
      <c r="P304" s="106"/>
      <c r="Q304" s="106">
        <f t="shared" si="152"/>
        <v>0</v>
      </c>
      <c r="R304" s="107">
        <f t="shared" si="152"/>
        <v>0</v>
      </c>
      <c r="S304" s="76">
        <f t="shared" si="152"/>
        <v>1741.5</v>
      </c>
    </row>
    <row r="305" spans="1:19" ht="90" customHeight="1">
      <c r="A305" s="4" t="s">
        <v>14</v>
      </c>
      <c r="B305" s="5" t="s">
        <v>15</v>
      </c>
      <c r="C305" s="44">
        <v>1741.5</v>
      </c>
      <c r="D305" s="44"/>
      <c r="E305" s="44">
        <f>C305+D305</f>
        <v>1741.5</v>
      </c>
      <c r="F305" s="5" t="s">
        <v>183</v>
      </c>
      <c r="G305" s="5" t="s">
        <v>15</v>
      </c>
      <c r="H305" s="44">
        <v>1741.5</v>
      </c>
      <c r="I305" s="44"/>
      <c r="J305" s="44">
        <f>H305+I305</f>
        <v>1741.5</v>
      </c>
      <c r="K305" s="70"/>
      <c r="L305" s="44"/>
      <c r="M305" s="44"/>
      <c r="N305" s="70">
        <f>J305+M305</f>
        <v>1741.5</v>
      </c>
      <c r="O305" s="106"/>
      <c r="P305" s="106"/>
      <c r="Q305" s="106"/>
      <c r="R305" s="107"/>
      <c r="S305" s="76">
        <v>1741.5</v>
      </c>
    </row>
    <row r="306" spans="1:19" ht="84.75" customHeight="1">
      <c r="A306" s="13" t="s">
        <v>185</v>
      </c>
      <c r="B306" s="14"/>
      <c r="C306" s="43">
        <f>C307</f>
        <v>901.3</v>
      </c>
      <c r="D306" s="43">
        <f>D307</f>
        <v>0</v>
      </c>
      <c r="E306" s="43">
        <f>E307</f>
        <v>901.3</v>
      </c>
      <c r="F306" s="14" t="s">
        <v>192</v>
      </c>
      <c r="G306" s="14"/>
      <c r="H306" s="43">
        <f aca="true" t="shared" si="153" ref="H306:O306">H307</f>
        <v>901.3</v>
      </c>
      <c r="I306" s="43">
        <f t="shared" si="153"/>
        <v>0</v>
      </c>
      <c r="J306" s="43">
        <f t="shared" si="153"/>
        <v>901.3</v>
      </c>
      <c r="K306" s="69">
        <f t="shared" si="153"/>
        <v>0</v>
      </c>
      <c r="L306" s="43">
        <f t="shared" si="153"/>
        <v>0</v>
      </c>
      <c r="M306" s="43">
        <f t="shared" si="153"/>
        <v>0</v>
      </c>
      <c r="N306" s="69">
        <f t="shared" si="153"/>
        <v>901.3</v>
      </c>
      <c r="O306" s="104">
        <f t="shared" si="153"/>
        <v>0</v>
      </c>
      <c r="P306" s="104"/>
      <c r="Q306" s="104">
        <f>Q307</f>
        <v>0</v>
      </c>
      <c r="R306" s="105">
        <f>R307</f>
        <v>0</v>
      </c>
      <c r="S306" s="73">
        <f>S307</f>
        <v>901.3</v>
      </c>
    </row>
    <row r="307" spans="1:19" ht="38.25" customHeight="1">
      <c r="A307" s="28" t="s">
        <v>351</v>
      </c>
      <c r="B307" s="29"/>
      <c r="C307" s="50">
        <f>C308+C309</f>
        <v>901.3</v>
      </c>
      <c r="D307" s="50">
        <f>D308+D309</f>
        <v>0</v>
      </c>
      <c r="E307" s="50">
        <f>E308+E309</f>
        <v>901.3</v>
      </c>
      <c r="F307" s="29" t="s">
        <v>186</v>
      </c>
      <c r="G307" s="29"/>
      <c r="H307" s="50">
        <f aca="true" t="shared" si="154" ref="H307:O307">H308+H309</f>
        <v>901.3</v>
      </c>
      <c r="I307" s="50">
        <f t="shared" si="154"/>
        <v>0</v>
      </c>
      <c r="J307" s="50">
        <f t="shared" si="154"/>
        <v>901.3</v>
      </c>
      <c r="K307" s="72">
        <f t="shared" si="154"/>
        <v>0</v>
      </c>
      <c r="L307" s="50">
        <f t="shared" si="154"/>
        <v>0</v>
      </c>
      <c r="M307" s="50">
        <f t="shared" si="154"/>
        <v>0</v>
      </c>
      <c r="N307" s="72">
        <f t="shared" si="154"/>
        <v>901.3</v>
      </c>
      <c r="O307" s="108">
        <f t="shared" si="154"/>
        <v>0</v>
      </c>
      <c r="P307" s="108"/>
      <c r="Q307" s="108">
        <f>Q308+Q309</f>
        <v>0</v>
      </c>
      <c r="R307" s="109">
        <f>R308+R309</f>
        <v>0</v>
      </c>
      <c r="S307" s="77">
        <f>S308+S309</f>
        <v>901.3</v>
      </c>
    </row>
    <row r="308" spans="1:19" ht="99.75" customHeight="1">
      <c r="A308" s="4" t="s">
        <v>14</v>
      </c>
      <c r="B308" s="5" t="s">
        <v>15</v>
      </c>
      <c r="C308" s="44">
        <v>851.3</v>
      </c>
      <c r="D308" s="44"/>
      <c r="E308" s="44">
        <f>C308+D308</f>
        <v>851.3</v>
      </c>
      <c r="F308" s="5" t="s">
        <v>186</v>
      </c>
      <c r="G308" s="5" t="s">
        <v>15</v>
      </c>
      <c r="H308" s="44">
        <v>851.3</v>
      </c>
      <c r="I308" s="44"/>
      <c r="J308" s="44">
        <f>H308+I308</f>
        <v>851.3</v>
      </c>
      <c r="K308" s="70"/>
      <c r="L308" s="44"/>
      <c r="M308" s="44"/>
      <c r="N308" s="70">
        <f>J308+L308</f>
        <v>851.3</v>
      </c>
      <c r="O308" s="106"/>
      <c r="P308" s="106"/>
      <c r="Q308" s="106"/>
      <c r="R308" s="107"/>
      <c r="S308" s="76">
        <v>851.3</v>
      </c>
    </row>
    <row r="309" spans="1:19" ht="39.75" customHeight="1">
      <c r="A309" s="4" t="s">
        <v>16</v>
      </c>
      <c r="B309" s="5" t="s">
        <v>17</v>
      </c>
      <c r="C309" s="44">
        <v>50</v>
      </c>
      <c r="D309" s="44"/>
      <c r="E309" s="44">
        <f>C309+D309</f>
        <v>50</v>
      </c>
      <c r="F309" s="5" t="s">
        <v>186</v>
      </c>
      <c r="G309" s="5" t="s">
        <v>17</v>
      </c>
      <c r="H309" s="44">
        <v>50</v>
      </c>
      <c r="I309" s="44"/>
      <c r="J309" s="44">
        <f>H309+I309</f>
        <v>50</v>
      </c>
      <c r="K309" s="70"/>
      <c r="L309" s="44"/>
      <c r="M309" s="44"/>
      <c r="N309" s="70">
        <f>J309+L309</f>
        <v>50</v>
      </c>
      <c r="O309" s="106"/>
      <c r="P309" s="106"/>
      <c r="Q309" s="106"/>
      <c r="R309" s="107"/>
      <c r="S309" s="76">
        <v>50</v>
      </c>
    </row>
    <row r="310" spans="1:19" ht="45.75" customHeight="1">
      <c r="A310" s="13" t="s">
        <v>33</v>
      </c>
      <c r="B310" s="9"/>
      <c r="C310" s="42">
        <f>C311</f>
        <v>8183.900000000001</v>
      </c>
      <c r="D310" s="42">
        <f>D311</f>
        <v>0</v>
      </c>
      <c r="E310" s="42">
        <f>E311</f>
        <v>8183.900000000001</v>
      </c>
      <c r="F310" s="9" t="s">
        <v>190</v>
      </c>
      <c r="G310" s="9"/>
      <c r="H310" s="42">
        <f aca="true" t="shared" si="155" ref="H310:O310">H311</f>
        <v>8183.900000000001</v>
      </c>
      <c r="I310" s="42">
        <f t="shared" si="155"/>
        <v>0</v>
      </c>
      <c r="J310" s="42">
        <f t="shared" si="155"/>
        <v>8183.900000000001</v>
      </c>
      <c r="K310" s="68">
        <f t="shared" si="155"/>
        <v>0</v>
      </c>
      <c r="L310" s="42">
        <f t="shared" si="155"/>
        <v>0</v>
      </c>
      <c r="M310" s="42">
        <f t="shared" si="155"/>
        <v>0</v>
      </c>
      <c r="N310" s="68">
        <f t="shared" si="155"/>
        <v>8183.900000000001</v>
      </c>
      <c r="O310" s="102">
        <f t="shared" si="155"/>
        <v>0</v>
      </c>
      <c r="P310" s="102"/>
      <c r="Q310" s="102">
        <f>Q311</f>
        <v>0</v>
      </c>
      <c r="R310" s="103">
        <f>R311</f>
        <v>0</v>
      </c>
      <c r="S310" s="75">
        <f>S311</f>
        <v>8291.9</v>
      </c>
    </row>
    <row r="311" spans="1:19" ht="35.25" customHeight="1">
      <c r="A311" s="4" t="s">
        <v>187</v>
      </c>
      <c r="B311" s="7"/>
      <c r="C311" s="52">
        <f>C312+C313+C314</f>
        <v>8183.900000000001</v>
      </c>
      <c r="D311" s="52">
        <f>D312+D313+D314</f>
        <v>0</v>
      </c>
      <c r="E311" s="52">
        <f>E312+E313+E314</f>
        <v>8183.900000000001</v>
      </c>
      <c r="F311" s="7" t="s">
        <v>188</v>
      </c>
      <c r="G311" s="7"/>
      <c r="H311" s="52">
        <f aca="true" t="shared" si="156" ref="H311:O311">H312+H313+H314</f>
        <v>8183.900000000001</v>
      </c>
      <c r="I311" s="52">
        <f t="shared" si="156"/>
        <v>0</v>
      </c>
      <c r="J311" s="52">
        <f t="shared" si="156"/>
        <v>8183.900000000001</v>
      </c>
      <c r="K311" s="78">
        <f t="shared" si="156"/>
        <v>0</v>
      </c>
      <c r="L311" s="52">
        <f t="shared" si="156"/>
        <v>0</v>
      </c>
      <c r="M311" s="52">
        <f t="shared" si="156"/>
        <v>0</v>
      </c>
      <c r="N311" s="78">
        <f t="shared" si="156"/>
        <v>8183.900000000001</v>
      </c>
      <c r="O311" s="112">
        <f t="shared" si="156"/>
        <v>0</v>
      </c>
      <c r="P311" s="112"/>
      <c r="Q311" s="112">
        <f>Q312+Q313+Q314</f>
        <v>0</v>
      </c>
      <c r="R311" s="113">
        <f>R312+R313+R314</f>
        <v>0</v>
      </c>
      <c r="S311" s="125">
        <f>S312+S313+S314</f>
        <v>8291.9</v>
      </c>
    </row>
    <row r="312" spans="1:19" ht="97.5" customHeight="1">
      <c r="A312" s="4" t="s">
        <v>14</v>
      </c>
      <c r="B312" s="7" t="s">
        <v>15</v>
      </c>
      <c r="C312" s="52">
        <f>5401.6+1631.3</f>
        <v>7032.900000000001</v>
      </c>
      <c r="D312" s="52"/>
      <c r="E312" s="44">
        <f>C312+D312</f>
        <v>7032.900000000001</v>
      </c>
      <c r="F312" s="7" t="s">
        <v>188</v>
      </c>
      <c r="G312" s="7" t="s">
        <v>15</v>
      </c>
      <c r="H312" s="52">
        <f>5401.6+1631.3</f>
        <v>7032.900000000001</v>
      </c>
      <c r="I312" s="52"/>
      <c r="J312" s="44">
        <f>H312+I312</f>
        <v>7032.900000000001</v>
      </c>
      <c r="K312" s="70"/>
      <c r="L312" s="44"/>
      <c r="M312" s="44">
        <v>-78</v>
      </c>
      <c r="N312" s="70">
        <f>J312+M312</f>
        <v>6954.900000000001</v>
      </c>
      <c r="O312" s="106"/>
      <c r="P312" s="106"/>
      <c r="Q312" s="106"/>
      <c r="R312" s="107"/>
      <c r="S312" s="76">
        <f>7147.77+126</f>
        <v>7273.77</v>
      </c>
    </row>
    <row r="313" spans="1:19" ht="39" customHeight="1">
      <c r="A313" s="4" t="s">
        <v>16</v>
      </c>
      <c r="B313" s="7" t="s">
        <v>17</v>
      </c>
      <c r="C313" s="52">
        <v>1149</v>
      </c>
      <c r="D313" s="52"/>
      <c r="E313" s="44">
        <f>C313+D313</f>
        <v>1149</v>
      </c>
      <c r="F313" s="7" t="s">
        <v>188</v>
      </c>
      <c r="G313" s="7" t="s">
        <v>17</v>
      </c>
      <c r="H313" s="52">
        <v>1149</v>
      </c>
      <c r="I313" s="52"/>
      <c r="J313" s="44">
        <f>H313+I313</f>
        <v>1149</v>
      </c>
      <c r="K313" s="70"/>
      <c r="L313" s="44"/>
      <c r="M313" s="44">
        <v>78</v>
      </c>
      <c r="N313" s="70">
        <f>J313+M313</f>
        <v>1227</v>
      </c>
      <c r="O313" s="106"/>
      <c r="P313" s="106"/>
      <c r="Q313" s="106"/>
      <c r="R313" s="107"/>
      <c r="S313" s="76">
        <f>1074-61</f>
        <v>1013</v>
      </c>
    </row>
    <row r="314" spans="1:19" ht="24.75" customHeight="1">
      <c r="A314" s="4" t="s">
        <v>58</v>
      </c>
      <c r="B314" s="7" t="s">
        <v>19</v>
      </c>
      <c r="C314" s="52">
        <v>2</v>
      </c>
      <c r="D314" s="52"/>
      <c r="E314" s="44">
        <f>C314+D314</f>
        <v>2</v>
      </c>
      <c r="F314" s="7" t="s">
        <v>188</v>
      </c>
      <c r="G314" s="7" t="s">
        <v>19</v>
      </c>
      <c r="H314" s="52">
        <v>2</v>
      </c>
      <c r="I314" s="52"/>
      <c r="J314" s="44">
        <f>H314+I314</f>
        <v>2</v>
      </c>
      <c r="K314" s="70"/>
      <c r="L314" s="44"/>
      <c r="M314" s="44"/>
      <c r="N314" s="70">
        <f>J314+M314</f>
        <v>2</v>
      </c>
      <c r="O314" s="106"/>
      <c r="P314" s="106"/>
      <c r="Q314" s="106"/>
      <c r="R314" s="107"/>
      <c r="S314" s="76">
        <v>5.13</v>
      </c>
    </row>
    <row r="315" spans="1:19" ht="36.75" customHeight="1">
      <c r="A315" s="13" t="s">
        <v>35</v>
      </c>
      <c r="B315" s="25"/>
      <c r="C315" s="53" t="e">
        <f>C316</f>
        <v>#REF!</v>
      </c>
      <c r="D315" s="53" t="e">
        <f>D316</f>
        <v>#REF!</v>
      </c>
      <c r="E315" s="53" t="e">
        <f>E316</f>
        <v>#REF!</v>
      </c>
      <c r="F315" s="25" t="s">
        <v>189</v>
      </c>
      <c r="G315" s="25"/>
      <c r="H315" s="53" t="e">
        <f aca="true" t="shared" si="157" ref="H315:O315">H316</f>
        <v>#REF!</v>
      </c>
      <c r="I315" s="53" t="e">
        <f t="shared" si="157"/>
        <v>#REF!</v>
      </c>
      <c r="J315" s="53" t="e">
        <f t="shared" si="157"/>
        <v>#REF!</v>
      </c>
      <c r="K315" s="79" t="e">
        <f t="shared" si="157"/>
        <v>#REF!</v>
      </c>
      <c r="L315" s="53" t="e">
        <f t="shared" si="157"/>
        <v>#REF!</v>
      </c>
      <c r="M315" s="53" t="e">
        <f t="shared" si="157"/>
        <v>#REF!</v>
      </c>
      <c r="N315" s="79" t="e">
        <f t="shared" si="157"/>
        <v>#REF!</v>
      </c>
      <c r="O315" s="114" t="e">
        <f t="shared" si="157"/>
        <v>#REF!</v>
      </c>
      <c r="P315" s="114"/>
      <c r="Q315" s="114" t="e">
        <f>Q316</f>
        <v>#REF!</v>
      </c>
      <c r="R315" s="115" t="e">
        <f>R316</f>
        <v>#REF!</v>
      </c>
      <c r="S315" s="135">
        <f>S316</f>
        <v>1513</v>
      </c>
    </row>
    <row r="316" spans="1:19" ht="17.25" customHeight="1">
      <c r="A316" s="4" t="s">
        <v>9</v>
      </c>
      <c r="B316" s="7"/>
      <c r="C316" s="52" t="e">
        <f>C317+#REF!</f>
        <v>#REF!</v>
      </c>
      <c r="D316" s="52" t="e">
        <f>D317+#REF!</f>
        <v>#REF!</v>
      </c>
      <c r="E316" s="52" t="e">
        <f>E317+#REF!</f>
        <v>#REF!</v>
      </c>
      <c r="F316" s="7" t="s">
        <v>191</v>
      </c>
      <c r="G316" s="7"/>
      <c r="H316" s="52" t="e">
        <f>H317+#REF!</f>
        <v>#REF!</v>
      </c>
      <c r="I316" s="52" t="e">
        <f>I317+#REF!</f>
        <v>#REF!</v>
      </c>
      <c r="J316" s="52" t="e">
        <f>J317+#REF!</f>
        <v>#REF!</v>
      </c>
      <c r="K316" s="78" t="e">
        <f>K317+#REF!</f>
        <v>#REF!</v>
      </c>
      <c r="L316" s="52" t="e">
        <f>L317+#REF!</f>
        <v>#REF!</v>
      </c>
      <c r="M316" s="52" t="e">
        <f>M317+#REF!</f>
        <v>#REF!</v>
      </c>
      <c r="N316" s="78" t="e">
        <f>N317+#REF!</f>
        <v>#REF!</v>
      </c>
      <c r="O316" s="112" t="e">
        <f>O317+#REF!</f>
        <v>#REF!</v>
      </c>
      <c r="P316" s="112"/>
      <c r="Q316" s="112" t="e">
        <f>Q317+#REF!</f>
        <v>#REF!</v>
      </c>
      <c r="R316" s="113" t="e">
        <f>R317+#REF!</f>
        <v>#REF!</v>
      </c>
      <c r="S316" s="125">
        <f>S317</f>
        <v>1513</v>
      </c>
    </row>
    <row r="317" spans="1:19" ht="80.25" customHeight="1">
      <c r="A317" s="4" t="s">
        <v>14</v>
      </c>
      <c r="B317" s="7" t="s">
        <v>15</v>
      </c>
      <c r="C317" s="52">
        <f>1096+331</f>
        <v>1427</v>
      </c>
      <c r="D317" s="52"/>
      <c r="E317" s="44">
        <f>C317+D317</f>
        <v>1427</v>
      </c>
      <c r="F317" s="7" t="s">
        <v>191</v>
      </c>
      <c r="G317" s="7" t="s">
        <v>15</v>
      </c>
      <c r="H317" s="52">
        <f>1096+331</f>
        <v>1427</v>
      </c>
      <c r="I317" s="52"/>
      <c r="J317" s="44">
        <f>H317+I317</f>
        <v>1427</v>
      </c>
      <c r="K317" s="70"/>
      <c r="L317" s="44"/>
      <c r="M317" s="44">
        <v>144</v>
      </c>
      <c r="N317" s="70">
        <f>J317+M317</f>
        <v>1571</v>
      </c>
      <c r="O317" s="106"/>
      <c r="P317" s="106"/>
      <c r="Q317" s="106"/>
      <c r="R317" s="107"/>
      <c r="S317" s="76">
        <f>1528-15</f>
        <v>1513</v>
      </c>
    </row>
    <row r="318" spans="1:19" ht="47.25">
      <c r="A318" s="13" t="s">
        <v>46</v>
      </c>
      <c r="B318" s="9"/>
      <c r="C318" s="42">
        <f>C319+C321</f>
        <v>4322.599999999999</v>
      </c>
      <c r="D318" s="42">
        <f>D319+D321</f>
        <v>0</v>
      </c>
      <c r="E318" s="42">
        <f>E319+E321</f>
        <v>4322.599999999999</v>
      </c>
      <c r="F318" s="9" t="s">
        <v>193</v>
      </c>
      <c r="G318" s="9"/>
      <c r="H318" s="42">
        <f aca="true" t="shared" si="158" ref="H318:O318">H319+H321</f>
        <v>4322.599999999999</v>
      </c>
      <c r="I318" s="42">
        <f t="shared" si="158"/>
        <v>0</v>
      </c>
      <c r="J318" s="42">
        <f t="shared" si="158"/>
        <v>4322.599999999999</v>
      </c>
      <c r="K318" s="68">
        <f t="shared" si="158"/>
        <v>0</v>
      </c>
      <c r="L318" s="42">
        <f t="shared" si="158"/>
        <v>0</v>
      </c>
      <c r="M318" s="42">
        <f t="shared" si="158"/>
        <v>0</v>
      </c>
      <c r="N318" s="68">
        <f t="shared" si="158"/>
        <v>4322.599999999999</v>
      </c>
      <c r="O318" s="102">
        <f t="shared" si="158"/>
        <v>0</v>
      </c>
      <c r="P318" s="102"/>
      <c r="Q318" s="102">
        <f>Q319+Q321</f>
        <v>0</v>
      </c>
      <c r="R318" s="103">
        <f>R319+R321</f>
        <v>0</v>
      </c>
      <c r="S318" s="75">
        <f>S319+S321</f>
        <v>4322.599999999999</v>
      </c>
    </row>
    <row r="319" spans="1:19" s="3" customFormat="1" ht="66" customHeight="1">
      <c r="A319" s="22" t="s">
        <v>310</v>
      </c>
      <c r="B319" s="123"/>
      <c r="C319" s="124">
        <f>C320</f>
        <v>3888.7</v>
      </c>
      <c r="D319" s="124">
        <f>D320</f>
        <v>0</v>
      </c>
      <c r="E319" s="124">
        <f>E320</f>
        <v>3888.7</v>
      </c>
      <c r="F319" s="123" t="s">
        <v>194</v>
      </c>
      <c r="G319" s="123"/>
      <c r="H319" s="124">
        <f aca="true" t="shared" si="159" ref="H319:O319">H320</f>
        <v>3888.7</v>
      </c>
      <c r="I319" s="124">
        <f t="shared" si="159"/>
        <v>0</v>
      </c>
      <c r="J319" s="124">
        <f t="shared" si="159"/>
        <v>3888.7</v>
      </c>
      <c r="K319" s="125">
        <f t="shared" si="159"/>
        <v>0</v>
      </c>
      <c r="L319" s="124">
        <f t="shared" si="159"/>
        <v>0</v>
      </c>
      <c r="M319" s="124">
        <f t="shared" si="159"/>
        <v>-185.96</v>
      </c>
      <c r="N319" s="125">
        <f t="shared" si="159"/>
        <v>3702.74</v>
      </c>
      <c r="O319" s="125">
        <f t="shared" si="159"/>
        <v>0</v>
      </c>
      <c r="P319" s="125"/>
      <c r="Q319" s="125">
        <f>Q320</f>
        <v>0</v>
      </c>
      <c r="R319" s="124">
        <f>R320</f>
        <v>0</v>
      </c>
      <c r="S319" s="125">
        <f>S320</f>
        <v>3702.74</v>
      </c>
    </row>
    <row r="320" spans="1:19" s="3" customFormat="1" ht="47.25">
      <c r="A320" s="62" t="s">
        <v>69</v>
      </c>
      <c r="B320" s="58" t="s">
        <v>13</v>
      </c>
      <c r="C320" s="59">
        <v>3888.7</v>
      </c>
      <c r="D320" s="59"/>
      <c r="E320" s="59">
        <f>C320+D320</f>
        <v>3888.7</v>
      </c>
      <c r="F320" s="58" t="s">
        <v>194</v>
      </c>
      <c r="G320" s="58" t="s">
        <v>13</v>
      </c>
      <c r="H320" s="59">
        <v>3888.7</v>
      </c>
      <c r="I320" s="59"/>
      <c r="J320" s="59">
        <f>H320+I320</f>
        <v>3888.7</v>
      </c>
      <c r="K320" s="74"/>
      <c r="L320" s="59"/>
      <c r="M320" s="59">
        <v>-185.96</v>
      </c>
      <c r="N320" s="74">
        <f>J320+M320</f>
        <v>3702.74</v>
      </c>
      <c r="O320" s="74"/>
      <c r="P320" s="74"/>
      <c r="Q320" s="74"/>
      <c r="R320" s="59"/>
      <c r="S320" s="76">
        <v>3702.74</v>
      </c>
    </row>
    <row r="321" spans="1:19" s="3" customFormat="1" ht="15.75">
      <c r="A321" s="57" t="s">
        <v>352</v>
      </c>
      <c r="B321" s="60"/>
      <c r="C321" s="61">
        <f>C322</f>
        <v>433.9</v>
      </c>
      <c r="D321" s="61">
        <f>D322</f>
        <v>0</v>
      </c>
      <c r="E321" s="61">
        <f>E322</f>
        <v>433.9</v>
      </c>
      <c r="F321" s="60" t="s">
        <v>353</v>
      </c>
      <c r="G321" s="60"/>
      <c r="H321" s="61">
        <f aca="true" t="shared" si="160" ref="H321:O321">H322</f>
        <v>433.9</v>
      </c>
      <c r="I321" s="61">
        <f t="shared" si="160"/>
        <v>0</v>
      </c>
      <c r="J321" s="61">
        <f t="shared" si="160"/>
        <v>433.9</v>
      </c>
      <c r="K321" s="77">
        <f t="shared" si="160"/>
        <v>0</v>
      </c>
      <c r="L321" s="61">
        <f t="shared" si="160"/>
        <v>0</v>
      </c>
      <c r="M321" s="61">
        <f t="shared" si="160"/>
        <v>185.96</v>
      </c>
      <c r="N321" s="77">
        <f t="shared" si="160"/>
        <v>619.86</v>
      </c>
      <c r="O321" s="77">
        <f t="shared" si="160"/>
        <v>0</v>
      </c>
      <c r="P321" s="77"/>
      <c r="Q321" s="77">
        <f>Q322</f>
        <v>0</v>
      </c>
      <c r="R321" s="61">
        <f>R322</f>
        <v>0</v>
      </c>
      <c r="S321" s="77">
        <f>S322</f>
        <v>619.86</v>
      </c>
    </row>
    <row r="322" spans="1:19" ht="47.25">
      <c r="A322" s="22" t="s">
        <v>69</v>
      </c>
      <c r="B322" s="123" t="s">
        <v>13</v>
      </c>
      <c r="C322" s="124">
        <v>433.9</v>
      </c>
      <c r="D322" s="124"/>
      <c r="E322" s="48">
        <f>C322+D322</f>
        <v>433.9</v>
      </c>
      <c r="F322" s="123" t="s">
        <v>353</v>
      </c>
      <c r="G322" s="123" t="s">
        <v>13</v>
      </c>
      <c r="H322" s="124">
        <v>433.9</v>
      </c>
      <c r="I322" s="124"/>
      <c r="J322" s="48">
        <f>H322+I322</f>
        <v>433.9</v>
      </c>
      <c r="K322" s="76"/>
      <c r="L322" s="48"/>
      <c r="M322" s="48">
        <v>185.96</v>
      </c>
      <c r="N322" s="76">
        <f>J322+L322+M322</f>
        <v>619.86</v>
      </c>
      <c r="O322" s="76"/>
      <c r="P322" s="76"/>
      <c r="Q322" s="76"/>
      <c r="R322" s="48"/>
      <c r="S322" s="76">
        <v>619.86</v>
      </c>
    </row>
    <row r="323" spans="1:19" ht="15.75">
      <c r="A323" s="17" t="s">
        <v>195</v>
      </c>
      <c r="B323" s="126"/>
      <c r="C323" s="127">
        <f>C324+C327</f>
        <v>264.3</v>
      </c>
      <c r="D323" s="127">
        <f>D324+D327</f>
        <v>0</v>
      </c>
      <c r="E323" s="127">
        <f>E324+E327</f>
        <v>264.3</v>
      </c>
      <c r="F323" s="126" t="s">
        <v>196</v>
      </c>
      <c r="G323" s="126"/>
      <c r="H323" s="127">
        <f aca="true" t="shared" si="161" ref="H323:O323">H324+H327</f>
        <v>264.3</v>
      </c>
      <c r="I323" s="127">
        <f t="shared" si="161"/>
        <v>0</v>
      </c>
      <c r="J323" s="127">
        <f t="shared" si="161"/>
        <v>264.3</v>
      </c>
      <c r="K323" s="128">
        <f t="shared" si="161"/>
        <v>0</v>
      </c>
      <c r="L323" s="127">
        <f t="shared" si="161"/>
        <v>0</v>
      </c>
      <c r="M323" s="127">
        <f t="shared" si="161"/>
        <v>0</v>
      </c>
      <c r="N323" s="128">
        <f t="shared" si="161"/>
        <v>264.3</v>
      </c>
      <c r="O323" s="128">
        <f t="shared" si="161"/>
        <v>0</v>
      </c>
      <c r="P323" s="128"/>
      <c r="Q323" s="128">
        <f>Q324+Q327</f>
        <v>0</v>
      </c>
      <c r="R323" s="127">
        <f>R324+R327</f>
        <v>0</v>
      </c>
      <c r="S323" s="128">
        <f>S324+S327</f>
        <v>214.3</v>
      </c>
    </row>
    <row r="324" spans="1:19" ht="36.75" customHeight="1">
      <c r="A324" s="129" t="s">
        <v>197</v>
      </c>
      <c r="B324" s="126"/>
      <c r="C324" s="127">
        <f aca="true" t="shared" si="162" ref="C324:E325">C325</f>
        <v>250</v>
      </c>
      <c r="D324" s="127">
        <f t="shared" si="162"/>
        <v>0</v>
      </c>
      <c r="E324" s="127">
        <f t="shared" si="162"/>
        <v>250</v>
      </c>
      <c r="F324" s="126" t="s">
        <v>199</v>
      </c>
      <c r="G324" s="126"/>
      <c r="H324" s="127">
        <f aca="true" t="shared" si="163" ref="H324:O325">H325</f>
        <v>250</v>
      </c>
      <c r="I324" s="127">
        <f t="shared" si="163"/>
        <v>0</v>
      </c>
      <c r="J324" s="127">
        <f t="shared" si="163"/>
        <v>250</v>
      </c>
      <c r="K324" s="128">
        <f t="shared" si="163"/>
        <v>0</v>
      </c>
      <c r="L324" s="127">
        <f t="shared" si="163"/>
        <v>0</v>
      </c>
      <c r="M324" s="127">
        <f t="shared" si="163"/>
        <v>0</v>
      </c>
      <c r="N324" s="128">
        <f t="shared" si="163"/>
        <v>250</v>
      </c>
      <c r="O324" s="128">
        <f t="shared" si="163"/>
        <v>0</v>
      </c>
      <c r="P324" s="128"/>
      <c r="Q324" s="128">
        <f aca="true" t="shared" si="164" ref="Q324:S325">Q325</f>
        <v>0</v>
      </c>
      <c r="R324" s="127">
        <f t="shared" si="164"/>
        <v>0</v>
      </c>
      <c r="S324" s="128">
        <f t="shared" si="164"/>
        <v>200</v>
      </c>
    </row>
    <row r="325" spans="1:19" ht="15.75">
      <c r="A325" s="130" t="s">
        <v>198</v>
      </c>
      <c r="B325" s="123"/>
      <c r="C325" s="124">
        <f t="shared" si="162"/>
        <v>250</v>
      </c>
      <c r="D325" s="124">
        <f t="shared" si="162"/>
        <v>0</v>
      </c>
      <c r="E325" s="124">
        <f t="shared" si="162"/>
        <v>250</v>
      </c>
      <c r="F325" s="123" t="s">
        <v>199</v>
      </c>
      <c r="G325" s="123"/>
      <c r="H325" s="124">
        <f t="shared" si="163"/>
        <v>250</v>
      </c>
      <c r="I325" s="124">
        <f t="shared" si="163"/>
        <v>0</v>
      </c>
      <c r="J325" s="124">
        <f t="shared" si="163"/>
        <v>250</v>
      </c>
      <c r="K325" s="125">
        <f t="shared" si="163"/>
        <v>0</v>
      </c>
      <c r="L325" s="124">
        <f t="shared" si="163"/>
        <v>0</v>
      </c>
      <c r="M325" s="124">
        <f t="shared" si="163"/>
        <v>0</v>
      </c>
      <c r="N325" s="125">
        <f t="shared" si="163"/>
        <v>250</v>
      </c>
      <c r="O325" s="125">
        <f t="shared" si="163"/>
        <v>0</v>
      </c>
      <c r="P325" s="125"/>
      <c r="Q325" s="125">
        <f t="shared" si="164"/>
        <v>0</v>
      </c>
      <c r="R325" s="124">
        <f t="shared" si="164"/>
        <v>0</v>
      </c>
      <c r="S325" s="125">
        <f t="shared" si="164"/>
        <v>200</v>
      </c>
    </row>
    <row r="326" spans="1:19" ht="31.5" customHeight="1">
      <c r="A326" s="22" t="s">
        <v>16</v>
      </c>
      <c r="B326" s="123" t="s">
        <v>17</v>
      </c>
      <c r="C326" s="124">
        <v>250</v>
      </c>
      <c r="D326" s="124"/>
      <c r="E326" s="48">
        <f>C326+D326</f>
        <v>250</v>
      </c>
      <c r="F326" s="123" t="s">
        <v>199</v>
      </c>
      <c r="G326" s="123" t="s">
        <v>17</v>
      </c>
      <c r="H326" s="124">
        <v>250</v>
      </c>
      <c r="I326" s="124"/>
      <c r="J326" s="48">
        <f>H326+I326</f>
        <v>250</v>
      </c>
      <c r="K326" s="76"/>
      <c r="L326" s="48"/>
      <c r="M326" s="48"/>
      <c r="N326" s="76">
        <f>J326+M326</f>
        <v>250</v>
      </c>
      <c r="O326" s="76"/>
      <c r="P326" s="76"/>
      <c r="Q326" s="76"/>
      <c r="R326" s="48"/>
      <c r="S326" s="76">
        <f>250-50</f>
        <v>200</v>
      </c>
    </row>
    <row r="327" spans="1:19" ht="87.75" customHeight="1">
      <c r="A327" s="57" t="s">
        <v>354</v>
      </c>
      <c r="B327" s="60"/>
      <c r="C327" s="61">
        <f>C328</f>
        <v>14.3</v>
      </c>
      <c r="D327" s="61">
        <f>D328</f>
        <v>0</v>
      </c>
      <c r="E327" s="61">
        <f>E328</f>
        <v>14.3</v>
      </c>
      <c r="F327" s="60" t="s">
        <v>382</v>
      </c>
      <c r="G327" s="60"/>
      <c r="H327" s="61">
        <f aca="true" t="shared" si="165" ref="H327:O327">H328</f>
        <v>14.3</v>
      </c>
      <c r="I327" s="61">
        <f t="shared" si="165"/>
        <v>0</v>
      </c>
      <c r="J327" s="61">
        <f t="shared" si="165"/>
        <v>14.3</v>
      </c>
      <c r="K327" s="77">
        <f t="shared" si="165"/>
        <v>0</v>
      </c>
      <c r="L327" s="61">
        <f t="shared" si="165"/>
        <v>0</v>
      </c>
      <c r="M327" s="61">
        <f t="shared" si="165"/>
        <v>0</v>
      </c>
      <c r="N327" s="77">
        <f t="shared" si="165"/>
        <v>14.3</v>
      </c>
      <c r="O327" s="77">
        <f t="shared" si="165"/>
        <v>0</v>
      </c>
      <c r="P327" s="77"/>
      <c r="Q327" s="77">
        <f>Q328</f>
        <v>0</v>
      </c>
      <c r="R327" s="61">
        <f>R328</f>
        <v>0</v>
      </c>
      <c r="S327" s="77">
        <f>S328</f>
        <v>14.3</v>
      </c>
    </row>
    <row r="328" spans="1:19" ht="31.5" customHeight="1">
      <c r="A328" s="4" t="s">
        <v>16</v>
      </c>
      <c r="B328" s="7" t="s">
        <v>17</v>
      </c>
      <c r="C328" s="52">
        <v>14.3</v>
      </c>
      <c r="D328" s="52"/>
      <c r="E328" s="44">
        <f>C328+D328</f>
        <v>14.3</v>
      </c>
      <c r="F328" s="7" t="s">
        <v>382</v>
      </c>
      <c r="G328" s="7" t="s">
        <v>17</v>
      </c>
      <c r="H328" s="52">
        <v>14.3</v>
      </c>
      <c r="I328" s="52"/>
      <c r="J328" s="44">
        <f>H328+I328</f>
        <v>14.3</v>
      </c>
      <c r="K328" s="70"/>
      <c r="L328" s="44"/>
      <c r="M328" s="44"/>
      <c r="N328" s="70">
        <f>J328+L328</f>
        <v>14.3</v>
      </c>
      <c r="O328" s="106"/>
      <c r="P328" s="106"/>
      <c r="Q328" s="106"/>
      <c r="R328" s="107"/>
      <c r="S328" s="76">
        <v>14.3</v>
      </c>
    </row>
    <row r="329" spans="1:19" ht="15.75">
      <c r="A329" s="30" t="s">
        <v>200</v>
      </c>
      <c r="B329" s="31"/>
      <c r="C329" s="40">
        <f aca="true" t="shared" si="166" ref="C329:E330">C330</f>
        <v>10657.2</v>
      </c>
      <c r="D329" s="40">
        <f t="shared" si="166"/>
        <v>0</v>
      </c>
      <c r="E329" s="40">
        <f t="shared" si="166"/>
        <v>10657.2</v>
      </c>
      <c r="F329" s="31" t="s">
        <v>32</v>
      </c>
      <c r="G329" s="31"/>
      <c r="H329" s="40">
        <f aca="true" t="shared" si="167" ref="H329:O330">H330</f>
        <v>10657.2</v>
      </c>
      <c r="I329" s="40">
        <f t="shared" si="167"/>
        <v>0</v>
      </c>
      <c r="J329" s="40">
        <f t="shared" si="167"/>
        <v>10657.2</v>
      </c>
      <c r="K329" s="66">
        <f t="shared" si="167"/>
        <v>0</v>
      </c>
      <c r="L329" s="40">
        <f t="shared" si="167"/>
        <v>0</v>
      </c>
      <c r="M329" s="40">
        <f t="shared" si="167"/>
        <v>0</v>
      </c>
      <c r="N329" s="66">
        <f t="shared" si="167"/>
        <v>10657.2</v>
      </c>
      <c r="O329" s="98">
        <f t="shared" si="167"/>
        <v>0</v>
      </c>
      <c r="P329" s="98"/>
      <c r="Q329" s="98">
        <f aca="true" t="shared" si="168" ref="Q329:S330">Q330</f>
        <v>0</v>
      </c>
      <c r="R329" s="99">
        <f t="shared" si="168"/>
        <v>-1.4155343563970746E-15</v>
      </c>
      <c r="S329" s="134">
        <f t="shared" si="168"/>
        <v>11461.2</v>
      </c>
    </row>
    <row r="330" spans="1:19" s="34" customFormat="1" ht="31.5">
      <c r="A330" s="12" t="s">
        <v>6</v>
      </c>
      <c r="B330" s="23"/>
      <c r="C330" s="45">
        <f t="shared" si="166"/>
        <v>10657.2</v>
      </c>
      <c r="D330" s="45">
        <f t="shared" si="166"/>
        <v>0</v>
      </c>
      <c r="E330" s="45">
        <f t="shared" si="166"/>
        <v>10657.2</v>
      </c>
      <c r="F330" s="23" t="s">
        <v>201</v>
      </c>
      <c r="G330" s="23"/>
      <c r="H330" s="45">
        <f t="shared" si="167"/>
        <v>10657.2</v>
      </c>
      <c r="I330" s="45">
        <f t="shared" si="167"/>
        <v>0</v>
      </c>
      <c r="J330" s="45">
        <f t="shared" si="167"/>
        <v>10657.2</v>
      </c>
      <c r="K330" s="67">
        <f t="shared" si="167"/>
        <v>0</v>
      </c>
      <c r="L330" s="45">
        <f t="shared" si="167"/>
        <v>0</v>
      </c>
      <c r="M330" s="45">
        <f t="shared" si="167"/>
        <v>0</v>
      </c>
      <c r="N330" s="67">
        <f t="shared" si="167"/>
        <v>10657.2</v>
      </c>
      <c r="O330" s="100">
        <f t="shared" si="167"/>
        <v>0</v>
      </c>
      <c r="P330" s="100"/>
      <c r="Q330" s="100">
        <f t="shared" si="168"/>
        <v>0</v>
      </c>
      <c r="R330" s="101">
        <f t="shared" si="168"/>
        <v>-1.4155343563970746E-15</v>
      </c>
      <c r="S330" s="71">
        <f t="shared" si="168"/>
        <v>11461.2</v>
      </c>
    </row>
    <row r="331" spans="1:19" ht="31.5">
      <c r="A331" s="12" t="s">
        <v>61</v>
      </c>
      <c r="B331" s="23"/>
      <c r="C331" s="45">
        <f>C332+C335</f>
        <v>10657.2</v>
      </c>
      <c r="D331" s="45">
        <f>D332+D335</f>
        <v>0</v>
      </c>
      <c r="E331" s="45">
        <f>E332+E335</f>
        <v>10657.2</v>
      </c>
      <c r="F331" s="23" t="s">
        <v>201</v>
      </c>
      <c r="G331" s="23"/>
      <c r="H331" s="45">
        <f aca="true" t="shared" si="169" ref="H331:O331">H332+H335</f>
        <v>10657.2</v>
      </c>
      <c r="I331" s="45">
        <f t="shared" si="169"/>
        <v>0</v>
      </c>
      <c r="J331" s="45">
        <f t="shared" si="169"/>
        <v>10657.2</v>
      </c>
      <c r="K331" s="67">
        <f t="shared" si="169"/>
        <v>0</v>
      </c>
      <c r="L331" s="45">
        <f t="shared" si="169"/>
        <v>0</v>
      </c>
      <c r="M331" s="45">
        <f t="shared" si="169"/>
        <v>0</v>
      </c>
      <c r="N331" s="67">
        <f t="shared" si="169"/>
        <v>10657.2</v>
      </c>
      <c r="O331" s="100">
        <f t="shared" si="169"/>
        <v>0</v>
      </c>
      <c r="P331" s="100"/>
      <c r="Q331" s="100">
        <f>Q332+Q335</f>
        <v>0</v>
      </c>
      <c r="R331" s="101">
        <f>R332+R335</f>
        <v>-1.4155343563970746E-15</v>
      </c>
      <c r="S331" s="71">
        <f>S332+S335</f>
        <v>11461.2</v>
      </c>
    </row>
    <row r="332" spans="1:19" ht="36" customHeight="1">
      <c r="A332" s="13" t="s">
        <v>34</v>
      </c>
      <c r="B332" s="14"/>
      <c r="C332" s="43">
        <f aca="true" t="shared" si="170" ref="C332:E333">C333</f>
        <v>552</v>
      </c>
      <c r="D332" s="43">
        <f t="shared" si="170"/>
        <v>0</v>
      </c>
      <c r="E332" s="43">
        <f t="shared" si="170"/>
        <v>552</v>
      </c>
      <c r="F332" s="14" t="s">
        <v>203</v>
      </c>
      <c r="G332" s="14"/>
      <c r="H332" s="43">
        <f aca="true" t="shared" si="171" ref="H332:O333">H333</f>
        <v>552</v>
      </c>
      <c r="I332" s="43">
        <f t="shared" si="171"/>
        <v>0</v>
      </c>
      <c r="J332" s="43">
        <f t="shared" si="171"/>
        <v>552</v>
      </c>
      <c r="K332" s="69">
        <f t="shared" si="171"/>
        <v>0</v>
      </c>
      <c r="L332" s="43">
        <f t="shared" si="171"/>
        <v>0</v>
      </c>
      <c r="M332" s="43">
        <f t="shared" si="171"/>
        <v>0</v>
      </c>
      <c r="N332" s="69">
        <f t="shared" si="171"/>
        <v>552</v>
      </c>
      <c r="O332" s="104">
        <f t="shared" si="171"/>
        <v>0</v>
      </c>
      <c r="P332" s="104"/>
      <c r="Q332" s="104">
        <f aca="true" t="shared" si="172" ref="Q332:S333">Q333</f>
        <v>0</v>
      </c>
      <c r="R332" s="105">
        <f t="shared" si="172"/>
        <v>0</v>
      </c>
      <c r="S332" s="73">
        <f t="shared" si="172"/>
        <v>1074</v>
      </c>
    </row>
    <row r="333" spans="1:19" ht="50.25" customHeight="1">
      <c r="A333" s="4" t="s">
        <v>7</v>
      </c>
      <c r="B333" s="5"/>
      <c r="C333" s="44">
        <f t="shared" si="170"/>
        <v>552</v>
      </c>
      <c r="D333" s="44">
        <f t="shared" si="170"/>
        <v>0</v>
      </c>
      <c r="E333" s="44">
        <f t="shared" si="170"/>
        <v>552</v>
      </c>
      <c r="F333" s="5" t="s">
        <v>204</v>
      </c>
      <c r="G333" s="5"/>
      <c r="H333" s="44">
        <f t="shared" si="171"/>
        <v>552</v>
      </c>
      <c r="I333" s="44">
        <f t="shared" si="171"/>
        <v>0</v>
      </c>
      <c r="J333" s="44">
        <f t="shared" si="171"/>
        <v>552</v>
      </c>
      <c r="K333" s="70">
        <f t="shared" si="171"/>
        <v>0</v>
      </c>
      <c r="L333" s="44">
        <f t="shared" si="171"/>
        <v>0</v>
      </c>
      <c r="M333" s="44">
        <f t="shared" si="171"/>
        <v>0</v>
      </c>
      <c r="N333" s="70">
        <f t="shared" si="171"/>
        <v>552</v>
      </c>
      <c r="O333" s="106">
        <f t="shared" si="171"/>
        <v>0</v>
      </c>
      <c r="P333" s="106"/>
      <c r="Q333" s="106">
        <f t="shared" si="172"/>
        <v>0</v>
      </c>
      <c r="R333" s="107">
        <f t="shared" si="172"/>
        <v>0</v>
      </c>
      <c r="S333" s="76">
        <f t="shared" si="172"/>
        <v>1074</v>
      </c>
    </row>
    <row r="334" spans="1:19" ht="39" customHeight="1">
      <c r="A334" s="4" t="s">
        <v>16</v>
      </c>
      <c r="B334" s="5" t="s">
        <v>17</v>
      </c>
      <c r="C334" s="44">
        <v>552</v>
      </c>
      <c r="D334" s="44"/>
      <c r="E334" s="44">
        <f>C334+D334</f>
        <v>552</v>
      </c>
      <c r="F334" s="5" t="s">
        <v>204</v>
      </c>
      <c r="G334" s="5" t="s">
        <v>17</v>
      </c>
      <c r="H334" s="44">
        <v>552</v>
      </c>
      <c r="I334" s="44"/>
      <c r="J334" s="44">
        <f>H334+I334</f>
        <v>552</v>
      </c>
      <c r="K334" s="70"/>
      <c r="L334" s="44"/>
      <c r="M334" s="44"/>
      <c r="N334" s="70">
        <f>J334+M334</f>
        <v>552</v>
      </c>
      <c r="O334" s="106"/>
      <c r="P334" s="106"/>
      <c r="Q334" s="106"/>
      <c r="R334" s="107"/>
      <c r="S334" s="76">
        <f>552+92+430</f>
        <v>1074</v>
      </c>
    </row>
    <row r="335" spans="1:19" ht="49.5" customHeight="1">
      <c r="A335" s="13" t="s">
        <v>33</v>
      </c>
      <c r="B335" s="14"/>
      <c r="C335" s="43">
        <f>C336</f>
        <v>10105.2</v>
      </c>
      <c r="D335" s="43">
        <f>D336</f>
        <v>0</v>
      </c>
      <c r="E335" s="43">
        <f>E336</f>
        <v>10105.2</v>
      </c>
      <c r="F335" s="14" t="s">
        <v>205</v>
      </c>
      <c r="G335" s="14"/>
      <c r="H335" s="43">
        <f aca="true" t="shared" si="173" ref="H335:O335">H336</f>
        <v>10105.2</v>
      </c>
      <c r="I335" s="43">
        <f t="shared" si="173"/>
        <v>0</v>
      </c>
      <c r="J335" s="43">
        <f t="shared" si="173"/>
        <v>10105.2</v>
      </c>
      <c r="K335" s="69">
        <f t="shared" si="173"/>
        <v>0</v>
      </c>
      <c r="L335" s="43">
        <f t="shared" si="173"/>
        <v>0</v>
      </c>
      <c r="M335" s="43">
        <f t="shared" si="173"/>
        <v>0</v>
      </c>
      <c r="N335" s="69">
        <f t="shared" si="173"/>
        <v>10105.2</v>
      </c>
      <c r="O335" s="104">
        <f t="shared" si="173"/>
        <v>0</v>
      </c>
      <c r="P335" s="104"/>
      <c r="Q335" s="104">
        <f>Q336</f>
        <v>0</v>
      </c>
      <c r="R335" s="105">
        <f>R336</f>
        <v>-1.4155343563970746E-15</v>
      </c>
      <c r="S335" s="73">
        <f>S336</f>
        <v>10387.2</v>
      </c>
    </row>
    <row r="336" spans="1:19" ht="36" customHeight="1">
      <c r="A336" s="4" t="s">
        <v>187</v>
      </c>
      <c r="B336" s="9"/>
      <c r="C336" s="42">
        <f>C337+C338+C340</f>
        <v>10105.2</v>
      </c>
      <c r="D336" s="42">
        <f>D337+D338+D340</f>
        <v>0</v>
      </c>
      <c r="E336" s="42">
        <f>E337+E338+E340</f>
        <v>10105.2</v>
      </c>
      <c r="F336" s="9" t="s">
        <v>206</v>
      </c>
      <c r="G336" s="9"/>
      <c r="H336" s="42">
        <f>H337+H338+H340</f>
        <v>10105.2</v>
      </c>
      <c r="I336" s="42">
        <f>I337+I338+I340</f>
        <v>0</v>
      </c>
      <c r="J336" s="42">
        <f aca="true" t="shared" si="174" ref="J336:O336">J337+J338+J340+J339</f>
        <v>10105.2</v>
      </c>
      <c r="K336" s="42">
        <f t="shared" si="174"/>
        <v>0</v>
      </c>
      <c r="L336" s="42">
        <f t="shared" si="174"/>
        <v>0</v>
      </c>
      <c r="M336" s="42">
        <f t="shared" si="174"/>
        <v>0</v>
      </c>
      <c r="N336" s="68">
        <f t="shared" si="174"/>
        <v>10105.2</v>
      </c>
      <c r="O336" s="103">
        <f t="shared" si="174"/>
        <v>0</v>
      </c>
      <c r="P336" s="103"/>
      <c r="Q336" s="102">
        <f>Q337+Q338+Q340+Q339</f>
        <v>0</v>
      </c>
      <c r="R336" s="103">
        <f>R337+R338+R340+R339</f>
        <v>-1.4155343563970746E-15</v>
      </c>
      <c r="S336" s="75">
        <f>S337+S338+S340+S339</f>
        <v>10387.2</v>
      </c>
    </row>
    <row r="337" spans="1:19" ht="99" customHeight="1">
      <c r="A337" s="4" t="s">
        <v>14</v>
      </c>
      <c r="B337" s="5" t="s">
        <v>15</v>
      </c>
      <c r="C337" s="44">
        <f>6814.6+2058</f>
        <v>8872.6</v>
      </c>
      <c r="D337" s="44"/>
      <c r="E337" s="44">
        <f>C337+D337</f>
        <v>8872.6</v>
      </c>
      <c r="F337" s="5" t="s">
        <v>206</v>
      </c>
      <c r="G337" s="5" t="s">
        <v>15</v>
      </c>
      <c r="H337" s="44">
        <f>6814.6+2058</f>
        <v>8872.6</v>
      </c>
      <c r="I337" s="44"/>
      <c r="J337" s="44">
        <f>H337+I337</f>
        <v>8872.6</v>
      </c>
      <c r="K337" s="70"/>
      <c r="L337" s="44"/>
      <c r="M337" s="44">
        <v>-49.66</v>
      </c>
      <c r="N337" s="70">
        <f>J337+M337</f>
        <v>8822.94</v>
      </c>
      <c r="O337" s="106"/>
      <c r="P337" s="106"/>
      <c r="Q337" s="106"/>
      <c r="R337" s="107">
        <v>-51.6</v>
      </c>
      <c r="S337" s="76">
        <f>8771.34+282</f>
        <v>9053.34</v>
      </c>
    </row>
    <row r="338" spans="1:19" ht="33.75" customHeight="1">
      <c r="A338" s="4" t="s">
        <v>16</v>
      </c>
      <c r="B338" s="5" t="s">
        <v>17</v>
      </c>
      <c r="C338" s="44">
        <v>1210.2</v>
      </c>
      <c r="D338" s="44"/>
      <c r="E338" s="44">
        <f>C338+D338</f>
        <v>1210.2</v>
      </c>
      <c r="F338" s="5" t="s">
        <v>206</v>
      </c>
      <c r="G338" s="5" t="s">
        <v>17</v>
      </c>
      <c r="H338" s="44">
        <v>1210.2</v>
      </c>
      <c r="I338" s="44"/>
      <c r="J338" s="44">
        <f>H338+I338</f>
        <v>1210.2</v>
      </c>
      <c r="K338" s="70"/>
      <c r="L338" s="44"/>
      <c r="M338" s="44"/>
      <c r="N338" s="70">
        <f>J338+M338</f>
        <v>1210.2</v>
      </c>
      <c r="O338" s="106"/>
      <c r="P338" s="106"/>
      <c r="Q338" s="106"/>
      <c r="R338" s="107">
        <v>51.5</v>
      </c>
      <c r="S338" s="76">
        <f>1264.15+13.19</f>
        <v>1277.3400000000001</v>
      </c>
    </row>
    <row r="339" spans="1:19" ht="33.75" customHeight="1">
      <c r="A339" s="4" t="s">
        <v>24</v>
      </c>
      <c r="B339" s="5"/>
      <c r="C339" s="44"/>
      <c r="D339" s="44"/>
      <c r="E339" s="44"/>
      <c r="F339" s="5" t="s">
        <v>206</v>
      </c>
      <c r="G339" s="5" t="s">
        <v>25</v>
      </c>
      <c r="H339" s="44"/>
      <c r="I339" s="44"/>
      <c r="J339" s="44"/>
      <c r="K339" s="70"/>
      <c r="L339" s="44"/>
      <c r="M339" s="44">
        <v>49.66</v>
      </c>
      <c r="N339" s="70">
        <f>J339+M339</f>
        <v>49.66</v>
      </c>
      <c r="O339" s="106"/>
      <c r="P339" s="106"/>
      <c r="Q339" s="106"/>
      <c r="R339" s="107"/>
      <c r="S339" s="76">
        <v>49.66</v>
      </c>
    </row>
    <row r="340" spans="1:19" ht="23.25" customHeight="1">
      <c r="A340" s="4" t="s">
        <v>58</v>
      </c>
      <c r="B340" s="5" t="s">
        <v>19</v>
      </c>
      <c r="C340" s="44">
        <v>22.4</v>
      </c>
      <c r="D340" s="44"/>
      <c r="E340" s="44">
        <f>C340+D340</f>
        <v>22.4</v>
      </c>
      <c r="F340" s="5" t="s">
        <v>206</v>
      </c>
      <c r="G340" s="5" t="s">
        <v>19</v>
      </c>
      <c r="H340" s="44">
        <v>22.4</v>
      </c>
      <c r="I340" s="44"/>
      <c r="J340" s="44">
        <f>H340+I340</f>
        <v>22.4</v>
      </c>
      <c r="K340" s="70"/>
      <c r="L340" s="44"/>
      <c r="M340" s="44"/>
      <c r="N340" s="70">
        <f>J340+M340</f>
        <v>22.4</v>
      </c>
      <c r="O340" s="106"/>
      <c r="P340" s="106"/>
      <c r="Q340" s="106"/>
      <c r="R340" s="107">
        <v>0.1</v>
      </c>
      <c r="S340" s="76">
        <f>20.05-13.19</f>
        <v>6.860000000000001</v>
      </c>
    </row>
    <row r="341" spans="1:19" ht="15.75">
      <c r="A341" s="32" t="s">
        <v>207</v>
      </c>
      <c r="B341" s="33"/>
      <c r="C341" s="54">
        <f aca="true" t="shared" si="175" ref="C341:E342">C342</f>
        <v>6501.2</v>
      </c>
      <c r="D341" s="54">
        <f t="shared" si="175"/>
        <v>0</v>
      </c>
      <c r="E341" s="54">
        <f t="shared" si="175"/>
        <v>6501.2</v>
      </c>
      <c r="F341" s="33" t="s">
        <v>37</v>
      </c>
      <c r="G341" s="33"/>
      <c r="H341" s="54">
        <f aca="true" t="shared" si="176" ref="H341:O342">H342</f>
        <v>6501.2</v>
      </c>
      <c r="I341" s="54">
        <f t="shared" si="176"/>
        <v>0</v>
      </c>
      <c r="J341" s="54">
        <f t="shared" si="176"/>
        <v>6501.2</v>
      </c>
      <c r="K341" s="80">
        <f t="shared" si="176"/>
        <v>0</v>
      </c>
      <c r="L341" s="54">
        <f t="shared" si="176"/>
        <v>0</v>
      </c>
      <c r="M341" s="54">
        <f t="shared" si="176"/>
        <v>0</v>
      </c>
      <c r="N341" s="80">
        <f t="shared" si="176"/>
        <v>6501.2</v>
      </c>
      <c r="O341" s="116">
        <f t="shared" si="176"/>
        <v>0</v>
      </c>
      <c r="P341" s="116"/>
      <c r="Q341" s="116">
        <f aca="true" t="shared" si="177" ref="Q341:S342">Q342</f>
        <v>0</v>
      </c>
      <c r="R341" s="117">
        <f t="shared" si="177"/>
        <v>193</v>
      </c>
      <c r="S341" s="136">
        <f t="shared" si="177"/>
        <v>5694.2</v>
      </c>
    </row>
    <row r="342" spans="1:19" s="34" customFormat="1" ht="15.75">
      <c r="A342" s="12" t="s">
        <v>36</v>
      </c>
      <c r="B342" s="23"/>
      <c r="C342" s="45">
        <f t="shared" si="175"/>
        <v>6501.2</v>
      </c>
      <c r="D342" s="45">
        <f t="shared" si="175"/>
        <v>0</v>
      </c>
      <c r="E342" s="45">
        <f t="shared" si="175"/>
        <v>6501.2</v>
      </c>
      <c r="F342" s="23" t="s">
        <v>209</v>
      </c>
      <c r="G342" s="23"/>
      <c r="H342" s="45">
        <f t="shared" si="176"/>
        <v>6501.2</v>
      </c>
      <c r="I342" s="45">
        <f t="shared" si="176"/>
        <v>0</v>
      </c>
      <c r="J342" s="45">
        <f t="shared" si="176"/>
        <v>6501.2</v>
      </c>
      <c r="K342" s="67">
        <f t="shared" si="176"/>
        <v>0</v>
      </c>
      <c r="L342" s="45">
        <f t="shared" si="176"/>
        <v>0</v>
      </c>
      <c r="M342" s="45">
        <f t="shared" si="176"/>
        <v>0</v>
      </c>
      <c r="N342" s="67">
        <f t="shared" si="176"/>
        <v>6501.2</v>
      </c>
      <c r="O342" s="100">
        <f t="shared" si="176"/>
        <v>0</v>
      </c>
      <c r="P342" s="100"/>
      <c r="Q342" s="100">
        <f t="shared" si="177"/>
        <v>0</v>
      </c>
      <c r="R342" s="101">
        <f t="shared" si="177"/>
        <v>193</v>
      </c>
      <c r="S342" s="71">
        <f t="shared" si="177"/>
        <v>5694.2</v>
      </c>
    </row>
    <row r="343" spans="1:19" ht="31.5">
      <c r="A343" s="10" t="s">
        <v>61</v>
      </c>
      <c r="B343" s="9"/>
      <c r="C343" s="42">
        <f>C344+C348</f>
        <v>6501.2</v>
      </c>
      <c r="D343" s="42">
        <f>D344+D348</f>
        <v>0</v>
      </c>
      <c r="E343" s="42">
        <f>E344+E348</f>
        <v>6501.2</v>
      </c>
      <c r="F343" s="9" t="s">
        <v>209</v>
      </c>
      <c r="G343" s="9"/>
      <c r="H343" s="42">
        <f aca="true" t="shared" si="178" ref="H343:O343">H344+H348</f>
        <v>6501.2</v>
      </c>
      <c r="I343" s="42">
        <f t="shared" si="178"/>
        <v>0</v>
      </c>
      <c r="J343" s="42">
        <f t="shared" si="178"/>
        <v>6501.2</v>
      </c>
      <c r="K343" s="68">
        <f t="shared" si="178"/>
        <v>0</v>
      </c>
      <c r="L343" s="42">
        <f t="shared" si="178"/>
        <v>0</v>
      </c>
      <c r="M343" s="42">
        <f t="shared" si="178"/>
        <v>0</v>
      </c>
      <c r="N343" s="68">
        <f t="shared" si="178"/>
        <v>6501.2</v>
      </c>
      <c r="O343" s="102">
        <f t="shared" si="178"/>
        <v>0</v>
      </c>
      <c r="P343" s="102"/>
      <c r="Q343" s="102">
        <f>Q344+Q348</f>
        <v>0</v>
      </c>
      <c r="R343" s="103">
        <f>R344+R348</f>
        <v>193</v>
      </c>
      <c r="S343" s="75">
        <f>S344+S348</f>
        <v>5694.2</v>
      </c>
    </row>
    <row r="344" spans="1:19" ht="47.25">
      <c r="A344" s="13" t="s">
        <v>311</v>
      </c>
      <c r="B344" s="14"/>
      <c r="C344" s="43">
        <f>C345</f>
        <v>4155.2</v>
      </c>
      <c r="D344" s="43">
        <f>D345</f>
        <v>0</v>
      </c>
      <c r="E344" s="43">
        <f>E345</f>
        <v>4155.2</v>
      </c>
      <c r="F344" s="14" t="s">
        <v>210</v>
      </c>
      <c r="G344" s="14"/>
      <c r="H344" s="43">
        <f aca="true" t="shared" si="179" ref="H344:O344">H345</f>
        <v>4155.2</v>
      </c>
      <c r="I344" s="43">
        <f t="shared" si="179"/>
        <v>0</v>
      </c>
      <c r="J344" s="43">
        <f t="shared" si="179"/>
        <v>4155.2</v>
      </c>
      <c r="K344" s="69">
        <f t="shared" si="179"/>
        <v>0</v>
      </c>
      <c r="L344" s="43">
        <f t="shared" si="179"/>
        <v>0</v>
      </c>
      <c r="M344" s="43">
        <f t="shared" si="179"/>
        <v>0</v>
      </c>
      <c r="N344" s="69">
        <f t="shared" si="179"/>
        <v>4155.2</v>
      </c>
      <c r="O344" s="104">
        <f t="shared" si="179"/>
        <v>0</v>
      </c>
      <c r="P344" s="104"/>
      <c r="Q344" s="104">
        <f>Q345</f>
        <v>0</v>
      </c>
      <c r="R344" s="105">
        <f>R345</f>
        <v>0</v>
      </c>
      <c r="S344" s="73">
        <f>S345</f>
        <v>4155.2</v>
      </c>
    </row>
    <row r="345" spans="1:19" ht="31.5">
      <c r="A345" s="4" t="s">
        <v>208</v>
      </c>
      <c r="B345" s="5"/>
      <c r="C345" s="44">
        <f>C346+C347</f>
        <v>4155.2</v>
      </c>
      <c r="D345" s="44">
        <f>D346+D347</f>
        <v>0</v>
      </c>
      <c r="E345" s="44">
        <f>E346+E347</f>
        <v>4155.2</v>
      </c>
      <c r="F345" s="5" t="s">
        <v>211</v>
      </c>
      <c r="G345" s="5"/>
      <c r="H345" s="44">
        <f aca="true" t="shared" si="180" ref="H345:O345">H346+H347</f>
        <v>4155.2</v>
      </c>
      <c r="I345" s="44">
        <f t="shared" si="180"/>
        <v>0</v>
      </c>
      <c r="J345" s="44">
        <f t="shared" si="180"/>
        <v>4155.2</v>
      </c>
      <c r="K345" s="70">
        <f t="shared" si="180"/>
        <v>0</v>
      </c>
      <c r="L345" s="44">
        <f t="shared" si="180"/>
        <v>0</v>
      </c>
      <c r="M345" s="44">
        <f t="shared" si="180"/>
        <v>0</v>
      </c>
      <c r="N345" s="70">
        <f t="shared" si="180"/>
        <v>4155.2</v>
      </c>
      <c r="O345" s="106">
        <f t="shared" si="180"/>
        <v>0</v>
      </c>
      <c r="P345" s="106"/>
      <c r="Q345" s="106">
        <f>Q346+Q347</f>
        <v>0</v>
      </c>
      <c r="R345" s="107">
        <f>R346+R347</f>
        <v>0</v>
      </c>
      <c r="S345" s="76">
        <f>S346+S347</f>
        <v>4155.2</v>
      </c>
    </row>
    <row r="346" spans="1:19" ht="79.5" customHeight="1">
      <c r="A346" s="4" t="s">
        <v>14</v>
      </c>
      <c r="B346" s="5" t="s">
        <v>15</v>
      </c>
      <c r="C346" s="44">
        <f>3153+952.2</f>
        <v>4105.2</v>
      </c>
      <c r="D346" s="44"/>
      <c r="E346" s="44">
        <f>C346+D346</f>
        <v>4105.2</v>
      </c>
      <c r="F346" s="5" t="s">
        <v>211</v>
      </c>
      <c r="G346" s="5" t="s">
        <v>15</v>
      </c>
      <c r="H346" s="44">
        <f>3153+952.2</f>
        <v>4105.2</v>
      </c>
      <c r="I346" s="44"/>
      <c r="J346" s="44">
        <f>H346+I346</f>
        <v>4105.2</v>
      </c>
      <c r="K346" s="70"/>
      <c r="L346" s="44"/>
      <c r="M346" s="44"/>
      <c r="N346" s="70">
        <f>J346+M346</f>
        <v>4105.2</v>
      </c>
      <c r="O346" s="106"/>
      <c r="P346" s="106"/>
      <c r="Q346" s="106"/>
      <c r="R346" s="107"/>
      <c r="S346" s="76">
        <f>4105.2+25</f>
        <v>4130.2</v>
      </c>
    </row>
    <row r="347" spans="1:19" ht="31.5">
      <c r="A347" s="4" t="s">
        <v>16</v>
      </c>
      <c r="B347" s="5" t="s">
        <v>17</v>
      </c>
      <c r="C347" s="44">
        <v>50</v>
      </c>
      <c r="D347" s="44"/>
      <c r="E347" s="44">
        <f>C347+D347</f>
        <v>50</v>
      </c>
      <c r="F347" s="5" t="s">
        <v>211</v>
      </c>
      <c r="G347" s="5" t="s">
        <v>17</v>
      </c>
      <c r="H347" s="44">
        <v>50</v>
      </c>
      <c r="I347" s="44"/>
      <c r="J347" s="44">
        <f>H347+I347</f>
        <v>50</v>
      </c>
      <c r="K347" s="70"/>
      <c r="L347" s="44"/>
      <c r="M347" s="44"/>
      <c r="N347" s="70">
        <f>J347+M347</f>
        <v>50</v>
      </c>
      <c r="O347" s="106"/>
      <c r="P347" s="106"/>
      <c r="Q347" s="106"/>
      <c r="R347" s="107"/>
      <c r="S347" s="76">
        <f>50-25</f>
        <v>25</v>
      </c>
    </row>
    <row r="348" spans="1:19" ht="47.25">
      <c r="A348" s="28" t="s">
        <v>51</v>
      </c>
      <c r="B348" s="23"/>
      <c r="C348" s="45">
        <f aca="true" t="shared" si="181" ref="C348:E349">C349</f>
        <v>2346</v>
      </c>
      <c r="D348" s="45">
        <f t="shared" si="181"/>
        <v>0</v>
      </c>
      <c r="E348" s="45">
        <f t="shared" si="181"/>
        <v>2346</v>
      </c>
      <c r="F348" s="23" t="s">
        <v>213</v>
      </c>
      <c r="G348" s="23"/>
      <c r="H348" s="45">
        <f aca="true" t="shared" si="182" ref="H348:O349">H349</f>
        <v>2346</v>
      </c>
      <c r="I348" s="45">
        <f t="shared" si="182"/>
        <v>0</v>
      </c>
      <c r="J348" s="45">
        <f t="shared" si="182"/>
        <v>2346</v>
      </c>
      <c r="K348" s="67">
        <f t="shared" si="182"/>
        <v>0</v>
      </c>
      <c r="L348" s="45">
        <f t="shared" si="182"/>
        <v>0</v>
      </c>
      <c r="M348" s="45">
        <f t="shared" si="182"/>
        <v>0</v>
      </c>
      <c r="N348" s="67">
        <f t="shared" si="182"/>
        <v>2346</v>
      </c>
      <c r="O348" s="100">
        <f t="shared" si="182"/>
        <v>0</v>
      </c>
      <c r="P348" s="100"/>
      <c r="Q348" s="100">
        <f aca="true" t="shared" si="183" ref="Q348:S349">Q349</f>
        <v>0</v>
      </c>
      <c r="R348" s="101">
        <f t="shared" si="183"/>
        <v>193</v>
      </c>
      <c r="S348" s="71">
        <f t="shared" si="183"/>
        <v>1539</v>
      </c>
    </row>
    <row r="349" spans="1:19" ht="80.25" customHeight="1">
      <c r="A349" s="26" t="s">
        <v>38</v>
      </c>
      <c r="B349" s="27"/>
      <c r="C349" s="51">
        <f t="shared" si="181"/>
        <v>2346</v>
      </c>
      <c r="D349" s="51">
        <f t="shared" si="181"/>
        <v>0</v>
      </c>
      <c r="E349" s="51">
        <f t="shared" si="181"/>
        <v>2346</v>
      </c>
      <c r="F349" s="27" t="s">
        <v>214</v>
      </c>
      <c r="G349" s="27"/>
      <c r="H349" s="51">
        <f t="shared" si="182"/>
        <v>2346</v>
      </c>
      <c r="I349" s="51">
        <f t="shared" si="182"/>
        <v>0</v>
      </c>
      <c r="J349" s="51">
        <f t="shared" si="182"/>
        <v>2346</v>
      </c>
      <c r="K349" s="81">
        <f t="shared" si="182"/>
        <v>0</v>
      </c>
      <c r="L349" s="51">
        <f t="shared" si="182"/>
        <v>0</v>
      </c>
      <c r="M349" s="51">
        <f t="shared" si="182"/>
        <v>0</v>
      </c>
      <c r="N349" s="81">
        <f t="shared" si="182"/>
        <v>2346</v>
      </c>
      <c r="O349" s="110">
        <f t="shared" si="182"/>
        <v>0</v>
      </c>
      <c r="P349" s="110"/>
      <c r="Q349" s="110">
        <f t="shared" si="183"/>
        <v>0</v>
      </c>
      <c r="R349" s="111">
        <f t="shared" si="183"/>
        <v>193</v>
      </c>
      <c r="S349" s="74">
        <f t="shared" si="183"/>
        <v>1539</v>
      </c>
    </row>
    <row r="350" spans="1:19" ht="31.5">
      <c r="A350" s="26" t="s">
        <v>16</v>
      </c>
      <c r="B350" s="27" t="s">
        <v>17</v>
      </c>
      <c r="C350" s="51">
        <f>650+196+1500</f>
        <v>2346</v>
      </c>
      <c r="D350" s="51"/>
      <c r="E350" s="44">
        <f>C350+D350</f>
        <v>2346</v>
      </c>
      <c r="F350" s="27" t="s">
        <v>214</v>
      </c>
      <c r="G350" s="27" t="s">
        <v>17</v>
      </c>
      <c r="H350" s="51">
        <f>650+196+1500</f>
        <v>2346</v>
      </c>
      <c r="I350" s="51"/>
      <c r="J350" s="44">
        <f>H350+I350</f>
        <v>2346</v>
      </c>
      <c r="K350" s="70"/>
      <c r="L350" s="44"/>
      <c r="M350" s="44"/>
      <c r="N350" s="70">
        <f>J350+M350</f>
        <v>2346</v>
      </c>
      <c r="O350" s="106"/>
      <c r="P350" s="106"/>
      <c r="Q350" s="106"/>
      <c r="R350" s="107">
        <v>193</v>
      </c>
      <c r="S350" s="76">
        <f>2539-1000</f>
        <v>1539</v>
      </c>
    </row>
    <row r="351" spans="1:19" ht="15.75">
      <c r="A351" s="30" t="s">
        <v>269</v>
      </c>
      <c r="B351" s="31"/>
      <c r="C351" s="40">
        <f>C352+C363</f>
        <v>2600</v>
      </c>
      <c r="D351" s="40">
        <f>D352+D363</f>
        <v>0</v>
      </c>
      <c r="E351" s="40">
        <f>E352+E363</f>
        <v>2600</v>
      </c>
      <c r="F351" s="31" t="s">
        <v>45</v>
      </c>
      <c r="G351" s="31"/>
      <c r="H351" s="40">
        <f aca="true" t="shared" si="184" ref="H351:O351">H352+H363</f>
        <v>2600</v>
      </c>
      <c r="I351" s="40">
        <f t="shared" si="184"/>
        <v>0</v>
      </c>
      <c r="J351" s="40">
        <f t="shared" si="184"/>
        <v>2600</v>
      </c>
      <c r="K351" s="66">
        <f t="shared" si="184"/>
        <v>0</v>
      </c>
      <c r="L351" s="40">
        <f t="shared" si="184"/>
        <v>0</v>
      </c>
      <c r="M351" s="40">
        <f t="shared" si="184"/>
        <v>0</v>
      </c>
      <c r="N351" s="66">
        <f t="shared" si="184"/>
        <v>2600</v>
      </c>
      <c r="O351" s="98">
        <f t="shared" si="184"/>
        <v>0</v>
      </c>
      <c r="P351" s="98"/>
      <c r="Q351" s="98">
        <f>Q352+Q363</f>
        <v>0</v>
      </c>
      <c r="R351" s="99">
        <f>R352+R363</f>
        <v>2215.73</v>
      </c>
      <c r="S351" s="134">
        <f>S352+S363+S367</f>
        <v>4815.73</v>
      </c>
    </row>
    <row r="352" spans="1:19" ht="47.25">
      <c r="A352" s="15" t="s">
        <v>212</v>
      </c>
      <c r="B352" s="16"/>
      <c r="C352" s="46">
        <f>C353+C356</f>
        <v>2350</v>
      </c>
      <c r="D352" s="46">
        <f>D353+D356</f>
        <v>0</v>
      </c>
      <c r="E352" s="46">
        <f>E353+E356</f>
        <v>2350</v>
      </c>
      <c r="F352" s="16" t="s">
        <v>251</v>
      </c>
      <c r="G352" s="16"/>
      <c r="H352" s="46">
        <f aca="true" t="shared" si="185" ref="H352:O352">H353+H356</f>
        <v>2350</v>
      </c>
      <c r="I352" s="46">
        <f t="shared" si="185"/>
        <v>0</v>
      </c>
      <c r="J352" s="46">
        <f t="shared" si="185"/>
        <v>2350</v>
      </c>
      <c r="K352" s="71">
        <f t="shared" si="185"/>
        <v>0</v>
      </c>
      <c r="L352" s="46">
        <f t="shared" si="185"/>
        <v>0</v>
      </c>
      <c r="M352" s="46">
        <f t="shared" si="185"/>
        <v>0</v>
      </c>
      <c r="N352" s="71">
        <f t="shared" si="185"/>
        <v>2350</v>
      </c>
      <c r="O352" s="71">
        <f t="shared" si="185"/>
        <v>0</v>
      </c>
      <c r="P352" s="71"/>
      <c r="Q352" s="71">
        <f>Q353+Q356</f>
        <v>0</v>
      </c>
      <c r="R352" s="46">
        <f>R353+R356+R367</f>
        <v>2215.73</v>
      </c>
      <c r="S352" s="71">
        <f>S353+S356</f>
        <v>2350</v>
      </c>
    </row>
    <row r="353" spans="1:19" ht="31.5">
      <c r="A353" s="19" t="s">
        <v>215</v>
      </c>
      <c r="B353" s="18"/>
      <c r="C353" s="47">
        <f aca="true" t="shared" si="186" ref="C353:E354">C354</f>
        <v>1050</v>
      </c>
      <c r="D353" s="47">
        <f t="shared" si="186"/>
        <v>0</v>
      </c>
      <c r="E353" s="47">
        <f t="shared" si="186"/>
        <v>1050</v>
      </c>
      <c r="F353" s="18" t="s">
        <v>252</v>
      </c>
      <c r="G353" s="18"/>
      <c r="H353" s="47">
        <f aca="true" t="shared" si="187" ref="H353:O354">H354</f>
        <v>1050</v>
      </c>
      <c r="I353" s="47">
        <f t="shared" si="187"/>
        <v>0</v>
      </c>
      <c r="J353" s="47">
        <f t="shared" si="187"/>
        <v>1050</v>
      </c>
      <c r="K353" s="73">
        <f t="shared" si="187"/>
        <v>0</v>
      </c>
      <c r="L353" s="47">
        <f t="shared" si="187"/>
        <v>0</v>
      </c>
      <c r="M353" s="47">
        <f t="shared" si="187"/>
        <v>0</v>
      </c>
      <c r="N353" s="73">
        <f t="shared" si="187"/>
        <v>1050</v>
      </c>
      <c r="O353" s="73">
        <f t="shared" si="187"/>
        <v>0</v>
      </c>
      <c r="P353" s="73"/>
      <c r="Q353" s="73">
        <f aca="true" t="shared" si="188" ref="Q353:S354">Q354</f>
        <v>0</v>
      </c>
      <c r="R353" s="47">
        <f t="shared" si="188"/>
        <v>0</v>
      </c>
      <c r="S353" s="73">
        <f t="shared" si="188"/>
        <v>1050</v>
      </c>
    </row>
    <row r="354" spans="1:19" ht="94.5" customHeight="1">
      <c r="A354" s="22" t="s">
        <v>216</v>
      </c>
      <c r="B354" s="20"/>
      <c r="C354" s="48">
        <f t="shared" si="186"/>
        <v>1050</v>
      </c>
      <c r="D354" s="48">
        <f t="shared" si="186"/>
        <v>0</v>
      </c>
      <c r="E354" s="48">
        <f t="shared" si="186"/>
        <v>1050</v>
      </c>
      <c r="F354" s="20" t="s">
        <v>253</v>
      </c>
      <c r="G354" s="20"/>
      <c r="H354" s="48">
        <f t="shared" si="187"/>
        <v>1050</v>
      </c>
      <c r="I354" s="48">
        <f t="shared" si="187"/>
        <v>0</v>
      </c>
      <c r="J354" s="48">
        <f t="shared" si="187"/>
        <v>1050</v>
      </c>
      <c r="K354" s="76">
        <f t="shared" si="187"/>
        <v>0</v>
      </c>
      <c r="L354" s="48">
        <f t="shared" si="187"/>
        <v>0</v>
      </c>
      <c r="M354" s="48">
        <f t="shared" si="187"/>
        <v>0</v>
      </c>
      <c r="N354" s="76">
        <f t="shared" si="187"/>
        <v>1050</v>
      </c>
      <c r="O354" s="76">
        <f t="shared" si="187"/>
        <v>0</v>
      </c>
      <c r="P354" s="76"/>
      <c r="Q354" s="76">
        <f t="shared" si="188"/>
        <v>0</v>
      </c>
      <c r="R354" s="48">
        <f t="shared" si="188"/>
        <v>0</v>
      </c>
      <c r="S354" s="76">
        <f t="shared" si="188"/>
        <v>1050</v>
      </c>
    </row>
    <row r="355" spans="1:19" ht="31.5">
      <c r="A355" s="22" t="s">
        <v>16</v>
      </c>
      <c r="B355" s="20" t="s">
        <v>17</v>
      </c>
      <c r="C355" s="48">
        <v>1050</v>
      </c>
      <c r="D355" s="48"/>
      <c r="E355" s="48">
        <f>C355+D355</f>
        <v>1050</v>
      </c>
      <c r="F355" s="20" t="s">
        <v>253</v>
      </c>
      <c r="G355" s="20" t="s">
        <v>17</v>
      </c>
      <c r="H355" s="48">
        <v>1050</v>
      </c>
      <c r="I355" s="48"/>
      <c r="J355" s="48">
        <f>H355+I355</f>
        <v>1050</v>
      </c>
      <c r="K355" s="76"/>
      <c r="L355" s="48"/>
      <c r="M355" s="48"/>
      <c r="N355" s="76">
        <f>J355+M355</f>
        <v>1050</v>
      </c>
      <c r="O355" s="76"/>
      <c r="P355" s="76"/>
      <c r="Q355" s="76"/>
      <c r="R355" s="48"/>
      <c r="S355" s="76">
        <v>1050</v>
      </c>
    </row>
    <row r="356" spans="1:19" ht="97.5" customHeight="1">
      <c r="A356" s="19" t="s">
        <v>218</v>
      </c>
      <c r="B356" s="18"/>
      <c r="C356" s="47">
        <f>C357+C359+C361</f>
        <v>1300</v>
      </c>
      <c r="D356" s="47">
        <f>D357+D359+D361</f>
        <v>0</v>
      </c>
      <c r="E356" s="47">
        <f>E357+E359+E361</f>
        <v>1300</v>
      </c>
      <c r="F356" s="18" t="s">
        <v>254</v>
      </c>
      <c r="G356" s="18"/>
      <c r="H356" s="47">
        <f aca="true" t="shared" si="189" ref="H356:O356">H357+H359+H361</f>
        <v>1300</v>
      </c>
      <c r="I356" s="47">
        <f t="shared" si="189"/>
        <v>0</v>
      </c>
      <c r="J356" s="47">
        <f t="shared" si="189"/>
        <v>1300</v>
      </c>
      <c r="K356" s="73">
        <f t="shared" si="189"/>
        <v>0</v>
      </c>
      <c r="L356" s="47">
        <f t="shared" si="189"/>
        <v>0</v>
      </c>
      <c r="M356" s="47">
        <f t="shared" si="189"/>
        <v>0</v>
      </c>
      <c r="N356" s="73">
        <f t="shared" si="189"/>
        <v>1300</v>
      </c>
      <c r="O356" s="73">
        <f t="shared" si="189"/>
        <v>0</v>
      </c>
      <c r="P356" s="73"/>
      <c r="Q356" s="73">
        <f>Q357+Q359+Q361</f>
        <v>0</v>
      </c>
      <c r="R356" s="47">
        <f>R357+R359+R361</f>
        <v>0</v>
      </c>
      <c r="S356" s="73">
        <f>S357+S359+S361</f>
        <v>1300</v>
      </c>
    </row>
    <row r="357" spans="1:19" ht="47.25">
      <c r="A357" s="19" t="s">
        <v>217</v>
      </c>
      <c r="B357" s="18"/>
      <c r="C357" s="47">
        <f>C358</f>
        <v>700</v>
      </c>
      <c r="D357" s="47">
        <f>D358</f>
        <v>0</v>
      </c>
      <c r="E357" s="47">
        <f>E358</f>
        <v>700</v>
      </c>
      <c r="F357" s="18" t="s">
        <v>255</v>
      </c>
      <c r="G357" s="18"/>
      <c r="H357" s="47">
        <f aca="true" t="shared" si="190" ref="H357:O357">H358</f>
        <v>700</v>
      </c>
      <c r="I357" s="47">
        <f t="shared" si="190"/>
        <v>0</v>
      </c>
      <c r="J357" s="47">
        <f t="shared" si="190"/>
        <v>700</v>
      </c>
      <c r="K357" s="73">
        <f t="shared" si="190"/>
        <v>0</v>
      </c>
      <c r="L357" s="47">
        <f t="shared" si="190"/>
        <v>0</v>
      </c>
      <c r="M357" s="47">
        <f t="shared" si="190"/>
        <v>0</v>
      </c>
      <c r="N357" s="73">
        <f t="shared" si="190"/>
        <v>700</v>
      </c>
      <c r="O357" s="73">
        <f t="shared" si="190"/>
        <v>0</v>
      </c>
      <c r="P357" s="73"/>
      <c r="Q357" s="73">
        <f>Q358</f>
        <v>0</v>
      </c>
      <c r="R357" s="47">
        <f>R358</f>
        <v>0</v>
      </c>
      <c r="S357" s="73">
        <f>S358</f>
        <v>773.08</v>
      </c>
    </row>
    <row r="358" spans="1:19" ht="31.5">
      <c r="A358" s="22" t="s">
        <v>16</v>
      </c>
      <c r="B358" s="20" t="s">
        <v>17</v>
      </c>
      <c r="C358" s="48">
        <v>700</v>
      </c>
      <c r="D358" s="48"/>
      <c r="E358" s="48">
        <f>C358+D358</f>
        <v>700</v>
      </c>
      <c r="F358" s="20" t="s">
        <v>255</v>
      </c>
      <c r="G358" s="20" t="s">
        <v>17</v>
      </c>
      <c r="H358" s="48">
        <v>700</v>
      </c>
      <c r="I358" s="48"/>
      <c r="J358" s="48">
        <f>H358+I358</f>
        <v>700</v>
      </c>
      <c r="K358" s="76"/>
      <c r="L358" s="48"/>
      <c r="M358" s="48"/>
      <c r="N358" s="76">
        <f>J358+M358</f>
        <v>700</v>
      </c>
      <c r="O358" s="76"/>
      <c r="P358" s="76"/>
      <c r="Q358" s="76"/>
      <c r="R358" s="48"/>
      <c r="S358" s="76">
        <v>773.08</v>
      </c>
    </row>
    <row r="359" spans="1:19" ht="35.25" customHeight="1">
      <c r="A359" s="19" t="s">
        <v>219</v>
      </c>
      <c r="B359" s="18"/>
      <c r="C359" s="47">
        <f>C360</f>
        <v>300</v>
      </c>
      <c r="D359" s="47">
        <f>D360</f>
        <v>0</v>
      </c>
      <c r="E359" s="47">
        <f>E360</f>
        <v>300</v>
      </c>
      <c r="F359" s="18" t="s">
        <v>287</v>
      </c>
      <c r="G359" s="18"/>
      <c r="H359" s="47">
        <f aca="true" t="shared" si="191" ref="H359:O359">H360</f>
        <v>300</v>
      </c>
      <c r="I359" s="47">
        <f t="shared" si="191"/>
        <v>0</v>
      </c>
      <c r="J359" s="47">
        <f t="shared" si="191"/>
        <v>300</v>
      </c>
      <c r="K359" s="73">
        <f t="shared" si="191"/>
        <v>0</v>
      </c>
      <c r="L359" s="47">
        <f t="shared" si="191"/>
        <v>0</v>
      </c>
      <c r="M359" s="47">
        <f t="shared" si="191"/>
        <v>0</v>
      </c>
      <c r="N359" s="73">
        <f t="shared" si="191"/>
        <v>300</v>
      </c>
      <c r="O359" s="73">
        <f t="shared" si="191"/>
        <v>0</v>
      </c>
      <c r="P359" s="73"/>
      <c r="Q359" s="73">
        <f>Q360</f>
        <v>0</v>
      </c>
      <c r="R359" s="47">
        <f>R360</f>
        <v>0</v>
      </c>
      <c r="S359" s="73">
        <f>S360</f>
        <v>226.92</v>
      </c>
    </row>
    <row r="360" spans="1:19" ht="31.5">
      <c r="A360" s="22" t="s">
        <v>16</v>
      </c>
      <c r="B360" s="20" t="s">
        <v>17</v>
      </c>
      <c r="C360" s="48">
        <v>300</v>
      </c>
      <c r="D360" s="48"/>
      <c r="E360" s="48">
        <f>C360+D360</f>
        <v>300</v>
      </c>
      <c r="F360" s="20" t="s">
        <v>287</v>
      </c>
      <c r="G360" s="20" t="s">
        <v>17</v>
      </c>
      <c r="H360" s="48">
        <v>300</v>
      </c>
      <c r="I360" s="48"/>
      <c r="J360" s="48">
        <f>H360+I360</f>
        <v>300</v>
      </c>
      <c r="K360" s="76"/>
      <c r="L360" s="48"/>
      <c r="M360" s="48"/>
      <c r="N360" s="76">
        <f>J360+M360</f>
        <v>300</v>
      </c>
      <c r="O360" s="76"/>
      <c r="P360" s="76"/>
      <c r="Q360" s="76"/>
      <c r="R360" s="48"/>
      <c r="S360" s="76">
        <v>226.92</v>
      </c>
    </row>
    <row r="361" spans="1:19" ht="31.5">
      <c r="A361" s="19" t="s">
        <v>220</v>
      </c>
      <c r="B361" s="18"/>
      <c r="C361" s="47">
        <f>C362</f>
        <v>300</v>
      </c>
      <c r="D361" s="47">
        <f>D362</f>
        <v>0</v>
      </c>
      <c r="E361" s="47">
        <f>E362</f>
        <v>300</v>
      </c>
      <c r="F361" s="18" t="s">
        <v>288</v>
      </c>
      <c r="G361" s="18"/>
      <c r="H361" s="47">
        <f aca="true" t="shared" si="192" ref="H361:O361">H362</f>
        <v>300</v>
      </c>
      <c r="I361" s="47">
        <f t="shared" si="192"/>
        <v>0</v>
      </c>
      <c r="J361" s="47">
        <f t="shared" si="192"/>
        <v>300</v>
      </c>
      <c r="K361" s="73">
        <f t="shared" si="192"/>
        <v>0</v>
      </c>
      <c r="L361" s="47">
        <f t="shared" si="192"/>
        <v>0</v>
      </c>
      <c r="M361" s="47">
        <f t="shared" si="192"/>
        <v>0</v>
      </c>
      <c r="N361" s="73">
        <f t="shared" si="192"/>
        <v>300</v>
      </c>
      <c r="O361" s="73">
        <f t="shared" si="192"/>
        <v>0</v>
      </c>
      <c r="P361" s="73"/>
      <c r="Q361" s="73">
        <f>Q362</f>
        <v>0</v>
      </c>
      <c r="R361" s="47">
        <f>R362</f>
        <v>0</v>
      </c>
      <c r="S361" s="73">
        <f>S362</f>
        <v>300</v>
      </c>
    </row>
    <row r="362" spans="1:19" ht="30.75" customHeight="1">
      <c r="A362" s="22" t="s">
        <v>16</v>
      </c>
      <c r="B362" s="20" t="s">
        <v>17</v>
      </c>
      <c r="C362" s="48">
        <v>300</v>
      </c>
      <c r="D362" s="48"/>
      <c r="E362" s="48">
        <f>C362+D362</f>
        <v>300</v>
      </c>
      <c r="F362" s="20" t="s">
        <v>288</v>
      </c>
      <c r="G362" s="20" t="s">
        <v>17</v>
      </c>
      <c r="H362" s="48">
        <v>300</v>
      </c>
      <c r="I362" s="48"/>
      <c r="J362" s="48">
        <f>H362+I362</f>
        <v>300</v>
      </c>
      <c r="K362" s="76"/>
      <c r="L362" s="48"/>
      <c r="M362" s="48"/>
      <c r="N362" s="76">
        <f>J362+M362</f>
        <v>300</v>
      </c>
      <c r="O362" s="76"/>
      <c r="P362" s="76"/>
      <c r="Q362" s="76"/>
      <c r="R362" s="48"/>
      <c r="S362" s="76">
        <v>300</v>
      </c>
    </row>
    <row r="363" spans="1:19" s="34" customFormat="1" ht="63" customHeight="1">
      <c r="A363" s="15" t="s">
        <v>221</v>
      </c>
      <c r="B363" s="16"/>
      <c r="C363" s="46">
        <f aca="true" t="shared" si="193" ref="C363:E365">C364</f>
        <v>250</v>
      </c>
      <c r="D363" s="46">
        <f t="shared" si="193"/>
        <v>0</v>
      </c>
      <c r="E363" s="46">
        <f t="shared" si="193"/>
        <v>250</v>
      </c>
      <c r="F363" s="16" t="s">
        <v>256</v>
      </c>
      <c r="G363" s="16"/>
      <c r="H363" s="46">
        <f aca="true" t="shared" si="194" ref="H363:O365">H364</f>
        <v>250</v>
      </c>
      <c r="I363" s="46">
        <f t="shared" si="194"/>
        <v>0</v>
      </c>
      <c r="J363" s="46">
        <f t="shared" si="194"/>
        <v>250</v>
      </c>
      <c r="K363" s="71">
        <f t="shared" si="194"/>
        <v>0</v>
      </c>
      <c r="L363" s="46">
        <f t="shared" si="194"/>
        <v>0</v>
      </c>
      <c r="M363" s="46">
        <f t="shared" si="194"/>
        <v>0</v>
      </c>
      <c r="N363" s="71">
        <f t="shared" si="194"/>
        <v>250</v>
      </c>
      <c r="O363" s="71">
        <f t="shared" si="194"/>
        <v>0</v>
      </c>
      <c r="P363" s="71"/>
      <c r="Q363" s="71">
        <f aca="true" t="shared" si="195" ref="Q363:S365">Q364</f>
        <v>0</v>
      </c>
      <c r="R363" s="46">
        <f t="shared" si="195"/>
        <v>0</v>
      </c>
      <c r="S363" s="71">
        <f t="shared" si="195"/>
        <v>250</v>
      </c>
    </row>
    <row r="364" spans="1:19" ht="63">
      <c r="A364" s="19" t="s">
        <v>222</v>
      </c>
      <c r="B364" s="20"/>
      <c r="C364" s="48">
        <f t="shared" si="193"/>
        <v>250</v>
      </c>
      <c r="D364" s="48">
        <f t="shared" si="193"/>
        <v>0</v>
      </c>
      <c r="E364" s="48">
        <f t="shared" si="193"/>
        <v>250</v>
      </c>
      <c r="F364" s="20" t="s">
        <v>257</v>
      </c>
      <c r="G364" s="20"/>
      <c r="H364" s="48">
        <f t="shared" si="194"/>
        <v>250</v>
      </c>
      <c r="I364" s="48">
        <f t="shared" si="194"/>
        <v>0</v>
      </c>
      <c r="J364" s="48">
        <f t="shared" si="194"/>
        <v>250</v>
      </c>
      <c r="K364" s="76">
        <f t="shared" si="194"/>
        <v>0</v>
      </c>
      <c r="L364" s="48">
        <f t="shared" si="194"/>
        <v>0</v>
      </c>
      <c r="M364" s="48">
        <f t="shared" si="194"/>
        <v>0</v>
      </c>
      <c r="N364" s="76">
        <f t="shared" si="194"/>
        <v>250</v>
      </c>
      <c r="O364" s="76">
        <f t="shared" si="194"/>
        <v>0</v>
      </c>
      <c r="P364" s="76"/>
      <c r="Q364" s="76">
        <f t="shared" si="195"/>
        <v>0</v>
      </c>
      <c r="R364" s="48">
        <f t="shared" si="195"/>
        <v>0</v>
      </c>
      <c r="S364" s="76">
        <f t="shared" si="195"/>
        <v>250</v>
      </c>
    </row>
    <row r="365" spans="1:19" ht="30.75" customHeight="1">
      <c r="A365" s="22" t="s">
        <v>312</v>
      </c>
      <c r="B365" s="20"/>
      <c r="C365" s="48">
        <f t="shared" si="193"/>
        <v>250</v>
      </c>
      <c r="D365" s="48">
        <f t="shared" si="193"/>
        <v>0</v>
      </c>
      <c r="E365" s="48">
        <f t="shared" si="193"/>
        <v>250</v>
      </c>
      <c r="F365" s="20" t="s">
        <v>258</v>
      </c>
      <c r="G365" s="20"/>
      <c r="H365" s="48">
        <f t="shared" si="194"/>
        <v>250</v>
      </c>
      <c r="I365" s="48">
        <f t="shared" si="194"/>
        <v>0</v>
      </c>
      <c r="J365" s="48">
        <f t="shared" si="194"/>
        <v>250</v>
      </c>
      <c r="K365" s="76">
        <f t="shared" si="194"/>
        <v>0</v>
      </c>
      <c r="L365" s="48">
        <f t="shared" si="194"/>
        <v>0</v>
      </c>
      <c r="M365" s="48">
        <f t="shared" si="194"/>
        <v>0</v>
      </c>
      <c r="N365" s="76">
        <f t="shared" si="194"/>
        <v>250</v>
      </c>
      <c r="O365" s="76">
        <f t="shared" si="194"/>
        <v>0</v>
      </c>
      <c r="P365" s="76"/>
      <c r="Q365" s="76">
        <f t="shared" si="195"/>
        <v>0</v>
      </c>
      <c r="R365" s="48">
        <f t="shared" si="195"/>
        <v>0</v>
      </c>
      <c r="S365" s="76">
        <f t="shared" si="195"/>
        <v>250</v>
      </c>
    </row>
    <row r="366" spans="1:19" ht="31.5">
      <c r="A366" s="22" t="s">
        <v>16</v>
      </c>
      <c r="B366" s="20" t="s">
        <v>17</v>
      </c>
      <c r="C366" s="48">
        <v>250</v>
      </c>
      <c r="D366" s="48"/>
      <c r="E366" s="48">
        <f>C366+D366</f>
        <v>250</v>
      </c>
      <c r="F366" s="20" t="s">
        <v>258</v>
      </c>
      <c r="G366" s="20" t="s">
        <v>17</v>
      </c>
      <c r="H366" s="48">
        <v>250</v>
      </c>
      <c r="I366" s="48"/>
      <c r="J366" s="48">
        <f>H366+I366</f>
        <v>250</v>
      </c>
      <c r="K366" s="76"/>
      <c r="L366" s="48"/>
      <c r="M366" s="48"/>
      <c r="N366" s="76">
        <f>J366+M366</f>
        <v>250</v>
      </c>
      <c r="O366" s="76"/>
      <c r="P366" s="76"/>
      <c r="Q366" s="76"/>
      <c r="R366" s="48"/>
      <c r="S366" s="76">
        <v>250</v>
      </c>
    </row>
    <row r="367" spans="1:19" ht="126">
      <c r="A367" s="17" t="s">
        <v>411</v>
      </c>
      <c r="B367" s="21"/>
      <c r="C367" s="49"/>
      <c r="D367" s="49"/>
      <c r="E367" s="49"/>
      <c r="F367" s="21" t="s">
        <v>413</v>
      </c>
      <c r="G367" s="21"/>
      <c r="H367" s="49"/>
      <c r="I367" s="49"/>
      <c r="J367" s="49"/>
      <c r="K367" s="75"/>
      <c r="L367" s="49"/>
      <c r="M367" s="49"/>
      <c r="N367" s="75"/>
      <c r="O367" s="75"/>
      <c r="P367" s="75"/>
      <c r="Q367" s="75"/>
      <c r="R367" s="49">
        <f>R368</f>
        <v>2215.73</v>
      </c>
      <c r="S367" s="75">
        <f>S368</f>
        <v>2215.73</v>
      </c>
    </row>
    <row r="368" spans="1:19" ht="69" customHeight="1">
      <c r="A368" s="10" t="s">
        <v>412</v>
      </c>
      <c r="B368" s="9"/>
      <c r="C368" s="42"/>
      <c r="D368" s="42"/>
      <c r="E368" s="42"/>
      <c r="F368" s="9" t="s">
        <v>414</v>
      </c>
      <c r="G368" s="9"/>
      <c r="H368" s="42"/>
      <c r="I368" s="42"/>
      <c r="J368" s="42"/>
      <c r="K368" s="68"/>
      <c r="L368" s="42"/>
      <c r="M368" s="42"/>
      <c r="N368" s="68"/>
      <c r="O368" s="102"/>
      <c r="P368" s="102"/>
      <c r="Q368" s="102"/>
      <c r="R368" s="103">
        <f>R369</f>
        <v>2215.73</v>
      </c>
      <c r="S368" s="75">
        <f>S369</f>
        <v>2215.73</v>
      </c>
    </row>
    <row r="369" spans="1:19" ht="31.5">
      <c r="A369" s="4" t="s">
        <v>16</v>
      </c>
      <c r="B369" s="9"/>
      <c r="C369" s="42"/>
      <c r="D369" s="42"/>
      <c r="E369" s="42"/>
      <c r="F369" s="5" t="s">
        <v>414</v>
      </c>
      <c r="G369" s="5" t="s">
        <v>17</v>
      </c>
      <c r="H369" s="44"/>
      <c r="I369" s="44"/>
      <c r="J369" s="44"/>
      <c r="K369" s="70"/>
      <c r="L369" s="44"/>
      <c r="M369" s="44"/>
      <c r="N369" s="70"/>
      <c r="O369" s="106"/>
      <c r="P369" s="106"/>
      <c r="Q369" s="106"/>
      <c r="R369" s="44">
        <v>2215.73</v>
      </c>
      <c r="S369" s="76">
        <v>2215.73</v>
      </c>
    </row>
    <row r="370" spans="1:19" ht="26.25" customHeight="1">
      <c r="A370" s="30" t="s">
        <v>247</v>
      </c>
      <c r="B370" s="31"/>
      <c r="C370" s="40">
        <f>C371+C374+C376</f>
        <v>35271.880000000005</v>
      </c>
      <c r="D370" s="40">
        <f>D371+D374+D376</f>
        <v>112197.34</v>
      </c>
      <c r="E370" s="40">
        <f>E371+E374+E376</f>
        <v>147469.22</v>
      </c>
      <c r="F370" s="31" t="s">
        <v>52</v>
      </c>
      <c r="G370" s="31"/>
      <c r="H370" s="40">
        <f aca="true" t="shared" si="196" ref="H370:S370">H371+H374+H376</f>
        <v>35271.880000000005</v>
      </c>
      <c r="I370" s="40">
        <f t="shared" si="196"/>
        <v>112197.34</v>
      </c>
      <c r="J370" s="40">
        <f t="shared" si="196"/>
        <v>147469.22</v>
      </c>
      <c r="K370" s="66">
        <f t="shared" si="196"/>
        <v>-7964.59</v>
      </c>
      <c r="L370" s="40">
        <f t="shared" si="196"/>
        <v>1000</v>
      </c>
      <c r="M370" s="40">
        <f t="shared" si="196"/>
        <v>10390.05</v>
      </c>
      <c r="N370" s="66">
        <f t="shared" si="196"/>
        <v>150894.68</v>
      </c>
      <c r="O370" s="98">
        <f t="shared" si="196"/>
        <v>670.2599999999984</v>
      </c>
      <c r="P370" s="98">
        <f t="shared" si="196"/>
        <v>-109.6</v>
      </c>
      <c r="Q370" s="98">
        <f t="shared" si="196"/>
        <v>0</v>
      </c>
      <c r="R370" s="99">
        <f t="shared" si="196"/>
        <v>10000</v>
      </c>
      <c r="S370" s="134">
        <f t="shared" si="196"/>
        <v>105554.74</v>
      </c>
    </row>
    <row r="371" spans="1:19" ht="18" customHeight="1">
      <c r="A371" s="11" t="s">
        <v>47</v>
      </c>
      <c r="B371" s="9"/>
      <c r="C371" s="42">
        <f aca="true" t="shared" si="197" ref="C371:E372">C372</f>
        <v>5000</v>
      </c>
      <c r="D371" s="42">
        <f t="shared" si="197"/>
        <v>0</v>
      </c>
      <c r="E371" s="42">
        <f t="shared" si="197"/>
        <v>5000</v>
      </c>
      <c r="F371" s="9" t="s">
        <v>289</v>
      </c>
      <c r="G371" s="9"/>
      <c r="H371" s="42">
        <f aca="true" t="shared" si="198" ref="H371:O372">H372</f>
        <v>5000</v>
      </c>
      <c r="I371" s="42">
        <f t="shared" si="198"/>
        <v>0</v>
      </c>
      <c r="J371" s="42">
        <f t="shared" si="198"/>
        <v>5000</v>
      </c>
      <c r="K371" s="68">
        <f t="shared" si="198"/>
        <v>0</v>
      </c>
      <c r="L371" s="42">
        <f t="shared" si="198"/>
        <v>0</v>
      </c>
      <c r="M371" s="42">
        <f t="shared" si="198"/>
        <v>0</v>
      </c>
      <c r="N371" s="68">
        <f t="shared" si="198"/>
        <v>5000</v>
      </c>
      <c r="O371" s="102">
        <f t="shared" si="198"/>
        <v>0</v>
      </c>
      <c r="P371" s="102"/>
      <c r="Q371" s="102">
        <f aca="true" t="shared" si="199" ref="Q371:S372">Q372</f>
        <v>0</v>
      </c>
      <c r="R371" s="103">
        <f t="shared" si="199"/>
        <v>2000</v>
      </c>
      <c r="S371" s="75">
        <f t="shared" si="199"/>
        <v>7000</v>
      </c>
    </row>
    <row r="372" spans="1:19" ht="37.5" customHeight="1">
      <c r="A372" s="11" t="s">
        <v>8</v>
      </c>
      <c r="B372" s="9"/>
      <c r="C372" s="42">
        <f t="shared" si="197"/>
        <v>5000</v>
      </c>
      <c r="D372" s="42">
        <f t="shared" si="197"/>
        <v>0</v>
      </c>
      <c r="E372" s="42">
        <f t="shared" si="197"/>
        <v>5000</v>
      </c>
      <c r="F372" s="9" t="s">
        <v>290</v>
      </c>
      <c r="G372" s="9"/>
      <c r="H372" s="42">
        <f t="shared" si="198"/>
        <v>5000</v>
      </c>
      <c r="I372" s="42">
        <f t="shared" si="198"/>
        <v>0</v>
      </c>
      <c r="J372" s="42">
        <f t="shared" si="198"/>
        <v>5000</v>
      </c>
      <c r="K372" s="68">
        <f t="shared" si="198"/>
        <v>0</v>
      </c>
      <c r="L372" s="42">
        <f t="shared" si="198"/>
        <v>0</v>
      </c>
      <c r="M372" s="42">
        <f t="shared" si="198"/>
        <v>0</v>
      </c>
      <c r="N372" s="68">
        <f t="shared" si="198"/>
        <v>5000</v>
      </c>
      <c r="O372" s="102">
        <f t="shared" si="198"/>
        <v>0</v>
      </c>
      <c r="P372" s="102"/>
      <c r="Q372" s="102">
        <f t="shared" si="199"/>
        <v>0</v>
      </c>
      <c r="R372" s="103">
        <f t="shared" si="199"/>
        <v>2000</v>
      </c>
      <c r="S372" s="75">
        <f t="shared" si="199"/>
        <v>7000</v>
      </c>
    </row>
    <row r="373" spans="1:19" ht="15.75">
      <c r="A373" s="6" t="s">
        <v>58</v>
      </c>
      <c r="B373" s="5" t="s">
        <v>19</v>
      </c>
      <c r="C373" s="44">
        <v>5000</v>
      </c>
      <c r="D373" s="44"/>
      <c r="E373" s="44">
        <f>C373+D373</f>
        <v>5000</v>
      </c>
      <c r="F373" s="5" t="s">
        <v>290</v>
      </c>
      <c r="G373" s="5" t="s">
        <v>19</v>
      </c>
      <c r="H373" s="44">
        <v>5000</v>
      </c>
      <c r="I373" s="44"/>
      <c r="J373" s="44">
        <f>H373+I373</f>
        <v>5000</v>
      </c>
      <c r="K373" s="70"/>
      <c r="L373" s="44"/>
      <c r="M373" s="44"/>
      <c r="N373" s="70">
        <f>J373+M373</f>
        <v>5000</v>
      </c>
      <c r="O373" s="106"/>
      <c r="P373" s="106"/>
      <c r="Q373" s="106"/>
      <c r="R373" s="107">
        <v>2000</v>
      </c>
      <c r="S373" s="76">
        <v>7000</v>
      </c>
    </row>
    <row r="374" spans="1:19" ht="47.25">
      <c r="A374" s="10" t="s">
        <v>248</v>
      </c>
      <c r="B374" s="9"/>
      <c r="C374" s="42">
        <f>C375</f>
        <v>3500</v>
      </c>
      <c r="D374" s="42">
        <f>D375</f>
        <v>0</v>
      </c>
      <c r="E374" s="42">
        <f>E375</f>
        <v>3500</v>
      </c>
      <c r="F374" s="9" t="s">
        <v>249</v>
      </c>
      <c r="G374" s="9"/>
      <c r="H374" s="42">
        <f aca="true" t="shared" si="200" ref="H374:O374">H375</f>
        <v>3500</v>
      </c>
      <c r="I374" s="42">
        <f t="shared" si="200"/>
        <v>0</v>
      </c>
      <c r="J374" s="42">
        <f t="shared" si="200"/>
        <v>3500</v>
      </c>
      <c r="K374" s="68">
        <f t="shared" si="200"/>
        <v>0</v>
      </c>
      <c r="L374" s="42">
        <f t="shared" si="200"/>
        <v>0</v>
      </c>
      <c r="M374" s="42">
        <f t="shared" si="200"/>
        <v>0</v>
      </c>
      <c r="N374" s="68">
        <f t="shared" si="200"/>
        <v>3500</v>
      </c>
      <c r="O374" s="102">
        <f t="shared" si="200"/>
        <v>0</v>
      </c>
      <c r="P374" s="102"/>
      <c r="Q374" s="102">
        <f>Q375</f>
        <v>0</v>
      </c>
      <c r="R374" s="103">
        <f>R375</f>
        <v>8000</v>
      </c>
      <c r="S374" s="75">
        <f>S375</f>
        <v>11500</v>
      </c>
    </row>
    <row r="375" spans="1:19" ht="15.75">
      <c r="A375" s="4" t="s">
        <v>58</v>
      </c>
      <c r="B375" s="5" t="s">
        <v>19</v>
      </c>
      <c r="C375" s="44">
        <v>3500</v>
      </c>
      <c r="D375" s="44"/>
      <c r="E375" s="44">
        <f>C375+D375</f>
        <v>3500</v>
      </c>
      <c r="F375" s="5" t="s">
        <v>249</v>
      </c>
      <c r="G375" s="5" t="s">
        <v>19</v>
      </c>
      <c r="H375" s="44">
        <v>3500</v>
      </c>
      <c r="I375" s="44"/>
      <c r="J375" s="44">
        <f>H375+I375</f>
        <v>3500</v>
      </c>
      <c r="K375" s="70"/>
      <c r="L375" s="44"/>
      <c r="M375" s="44"/>
      <c r="N375" s="70">
        <f>J375+M375</f>
        <v>3500</v>
      </c>
      <c r="O375" s="106"/>
      <c r="P375" s="106"/>
      <c r="Q375" s="106"/>
      <c r="R375" s="107">
        <f>3946.97+4053.03</f>
        <v>8000</v>
      </c>
      <c r="S375" s="76">
        <v>11500</v>
      </c>
    </row>
    <row r="376" spans="1:19" ht="57.75" customHeight="1">
      <c r="A376" s="10" t="s">
        <v>49</v>
      </c>
      <c r="B376" s="9"/>
      <c r="C376" s="42">
        <f>C377</f>
        <v>26771.88</v>
      </c>
      <c r="D376" s="42">
        <f>D377</f>
        <v>112197.34</v>
      </c>
      <c r="E376" s="42">
        <f>E377</f>
        <v>138969.22</v>
      </c>
      <c r="F376" s="9" t="s">
        <v>250</v>
      </c>
      <c r="G376" s="9"/>
      <c r="H376" s="42">
        <f aca="true" t="shared" si="201" ref="H376:S376">H377</f>
        <v>26771.88</v>
      </c>
      <c r="I376" s="42">
        <f t="shared" si="201"/>
        <v>112197.34</v>
      </c>
      <c r="J376" s="42">
        <f t="shared" si="201"/>
        <v>138969.22</v>
      </c>
      <c r="K376" s="68">
        <f t="shared" si="201"/>
        <v>-7964.59</v>
      </c>
      <c r="L376" s="42">
        <f t="shared" si="201"/>
        <v>1000</v>
      </c>
      <c r="M376" s="42">
        <f t="shared" si="201"/>
        <v>10390.05</v>
      </c>
      <c r="N376" s="68">
        <f t="shared" si="201"/>
        <v>142394.68</v>
      </c>
      <c r="O376" s="102">
        <f t="shared" si="201"/>
        <v>670.2599999999984</v>
      </c>
      <c r="P376" s="102">
        <f t="shared" si="201"/>
        <v>-109.6</v>
      </c>
      <c r="Q376" s="102">
        <f t="shared" si="201"/>
        <v>0</v>
      </c>
      <c r="R376" s="103">
        <f t="shared" si="201"/>
        <v>0</v>
      </c>
      <c r="S376" s="75">
        <f t="shared" si="201"/>
        <v>87054.74</v>
      </c>
    </row>
    <row r="377" spans="1:19" ht="46.5" customHeight="1">
      <c r="A377" s="4" t="s">
        <v>146</v>
      </c>
      <c r="B377" s="5" t="s">
        <v>48</v>
      </c>
      <c r="C377" s="44">
        <f>25751.88+1020</f>
        <v>26771.88</v>
      </c>
      <c r="D377" s="44">
        <f>110197.34+2000</f>
        <v>112197.34</v>
      </c>
      <c r="E377" s="44">
        <f>C377+D377</f>
        <v>138969.22</v>
      </c>
      <c r="F377" s="5" t="s">
        <v>250</v>
      </c>
      <c r="G377" s="5" t="s">
        <v>48</v>
      </c>
      <c r="H377" s="44">
        <f>25751.88+1020</f>
        <v>26771.88</v>
      </c>
      <c r="I377" s="44">
        <f>110197.34+2000</f>
        <v>112197.34</v>
      </c>
      <c r="J377" s="44">
        <f>H377+I377</f>
        <v>138969.22</v>
      </c>
      <c r="K377" s="70">
        <v>-7964.59</v>
      </c>
      <c r="L377" s="44">
        <v>1000</v>
      </c>
      <c r="M377" s="44">
        <f>10390.16-0.11</f>
        <v>10390.05</v>
      </c>
      <c r="N377" s="70">
        <f>J377+M377+K377+L377</f>
        <v>142394.68</v>
      </c>
      <c r="O377" s="106">
        <f>-30842.34+31512.6</f>
        <v>670.2599999999984</v>
      </c>
      <c r="P377" s="106">
        <v>-109.6</v>
      </c>
      <c r="Q377" s="106"/>
      <c r="R377" s="107"/>
      <c r="S377" s="76">
        <f>87054.58+0.16</f>
        <v>87054.74</v>
      </c>
    </row>
    <row r="378" spans="1:19" s="35" customFormat="1" ht="18.75">
      <c r="A378" s="37" t="s">
        <v>3</v>
      </c>
      <c r="B378" s="38"/>
      <c r="C378" s="39" t="e">
        <f>C13+C45+C97+C164+C194+C263+C301+C329+C341+C351+C370</f>
        <v>#REF!</v>
      </c>
      <c r="D378" s="39" t="e">
        <f>D13+D45+D97+D164+D194+D263+D301+D329+D341+D351+D370</f>
        <v>#REF!</v>
      </c>
      <c r="E378" s="39" t="e">
        <f>E13+E45+E97+E164+E194+E263+E301+E329+E341+E351+E370</f>
        <v>#REF!</v>
      </c>
      <c r="F378" s="38"/>
      <c r="G378" s="38"/>
      <c r="H378" s="39" t="e">
        <f aca="true" t="shared" si="202" ref="H378:S378">H13+H45+H97+H164+H194+H263+H301+H329+H341+H351+H370</f>
        <v>#REF!</v>
      </c>
      <c r="I378" s="39" t="e">
        <f t="shared" si="202"/>
        <v>#REF!</v>
      </c>
      <c r="J378" s="39" t="e">
        <f t="shared" si="202"/>
        <v>#REF!</v>
      </c>
      <c r="K378" s="82" t="e">
        <f t="shared" si="202"/>
        <v>#REF!</v>
      </c>
      <c r="L378" s="39" t="e">
        <f t="shared" si="202"/>
        <v>#REF!</v>
      </c>
      <c r="M378" s="39" t="e">
        <f t="shared" si="202"/>
        <v>#REF!</v>
      </c>
      <c r="N378" s="82" t="e">
        <f t="shared" si="202"/>
        <v>#REF!</v>
      </c>
      <c r="O378" s="118" t="e">
        <f t="shared" si="202"/>
        <v>#REF!</v>
      </c>
      <c r="P378" s="118" t="e">
        <f t="shared" si="202"/>
        <v>#REF!</v>
      </c>
      <c r="Q378" s="118" t="e">
        <f t="shared" si="202"/>
        <v>#REF!</v>
      </c>
      <c r="R378" s="119" t="e">
        <f t="shared" si="202"/>
        <v>#REF!</v>
      </c>
      <c r="S378" s="137">
        <f t="shared" si="202"/>
        <v>1683948.31</v>
      </c>
    </row>
    <row r="382" ht="12.75">
      <c r="N382" s="63" t="e">
        <f>N378+O378+P378+Q378+R378</f>
        <v>#REF!</v>
      </c>
    </row>
  </sheetData>
  <sheetProtection/>
  <autoFilter ref="A11:S378"/>
  <mergeCells count="9">
    <mergeCell ref="B1:S1"/>
    <mergeCell ref="B2:S7"/>
    <mergeCell ref="A9:S9"/>
    <mergeCell ref="G10:H10"/>
    <mergeCell ref="F11:F12"/>
    <mergeCell ref="G11:G12"/>
    <mergeCell ref="A11:A12"/>
    <mergeCell ref="B11:B12"/>
    <mergeCell ref="B10:C10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2019-08-26T07:24:07Z</cp:lastPrinted>
  <dcterms:created xsi:type="dcterms:W3CDTF">1996-10-08T23:32:33Z</dcterms:created>
  <dcterms:modified xsi:type="dcterms:W3CDTF">2019-11-25T10:39:37Z</dcterms:modified>
  <cp:category/>
  <cp:version/>
  <cp:contentType/>
  <cp:contentStatus/>
</cp:coreProperties>
</file>